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Vn Algemeen\Kredietverlening\Migratiemap acceptatie\Product Owner\SK ML\Werkinstructie kredietbeleid\Handmatige berekeningen\Verzilverlening\"/>
    </mc:Choice>
  </mc:AlternateContent>
  <xr:revisionPtr revIDLastSave="0" documentId="13_ncr:1_{ED64F68F-5FC8-487F-898D-36DBD86AB712}" xr6:coauthVersionLast="45" xr6:coauthVersionMax="45" xr10:uidLastSave="{00000000-0000-0000-0000-000000000000}"/>
  <workbookProtection workbookPassword="C642" lockStructure="1"/>
  <bookViews>
    <workbookView xWindow="-4815" yWindow="-21720" windowWidth="38640" windowHeight="21240" xr2:uid="{00000000-000D-0000-FFFF-FFFF00000000}"/>
  </bookViews>
  <sheets>
    <sheet name="Invoer" sheetId="2" r:id="rId1"/>
    <sheet name="Aflostabel" sheetId="1" r:id="rId2"/>
    <sheet name="Vaste gegevens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" l="1"/>
  <c r="C7" i="2"/>
  <c r="B10" i="2"/>
  <c r="G2" i="1"/>
  <c r="H2" i="1"/>
  <c r="A2" i="1"/>
  <c r="G3" i="1"/>
  <c r="H3" i="1"/>
  <c r="A3" i="1"/>
  <c r="G4" i="1"/>
  <c r="H4" i="1"/>
  <c r="A4" i="1"/>
  <c r="G5" i="1"/>
  <c r="H5" i="1"/>
  <c r="A5" i="1"/>
  <c r="G6" i="1"/>
  <c r="H6" i="1"/>
  <c r="A6" i="1"/>
  <c r="G7" i="1"/>
  <c r="H7" i="1"/>
  <c r="A7" i="1"/>
  <c r="G8" i="1"/>
  <c r="H8" i="1"/>
  <c r="A8" i="1"/>
  <c r="G9" i="1"/>
  <c r="H9" i="1"/>
  <c r="A9" i="1"/>
  <c r="G10" i="1"/>
  <c r="H10" i="1"/>
  <c r="A10" i="1"/>
  <c r="G11" i="1"/>
  <c r="H11" i="1"/>
  <c r="A11" i="1"/>
  <c r="G12" i="1"/>
  <c r="H12" i="1"/>
  <c r="A12" i="1"/>
  <c r="G13" i="1"/>
  <c r="H13" i="1"/>
  <c r="A13" i="1"/>
  <c r="G14" i="1"/>
  <c r="H14" i="1"/>
  <c r="A14" i="1"/>
  <c r="G15" i="1"/>
  <c r="H15" i="1"/>
  <c r="A15" i="1"/>
  <c r="G16" i="1"/>
  <c r="H16" i="1"/>
  <c r="A16" i="1"/>
  <c r="G17" i="1"/>
  <c r="H17" i="1"/>
  <c r="A17" i="1"/>
  <c r="G18" i="1"/>
  <c r="H18" i="1"/>
  <c r="A18" i="1"/>
  <c r="G19" i="1"/>
  <c r="H19" i="1"/>
  <c r="A19" i="1"/>
  <c r="G20" i="1"/>
  <c r="H20" i="1"/>
  <c r="A20" i="1"/>
  <c r="G21" i="1"/>
  <c r="H21" i="1"/>
  <c r="A21" i="1"/>
  <c r="G22" i="1"/>
  <c r="H22" i="1"/>
  <c r="A22" i="1"/>
  <c r="G23" i="1"/>
  <c r="H23" i="1"/>
  <c r="A23" i="1"/>
  <c r="G24" i="1"/>
  <c r="H24" i="1"/>
  <c r="A24" i="1"/>
  <c r="G25" i="1"/>
  <c r="H25" i="1"/>
  <c r="A25" i="1"/>
  <c r="G26" i="1"/>
  <c r="H26" i="1"/>
  <c r="A26" i="1"/>
  <c r="G27" i="1"/>
  <c r="H27" i="1"/>
  <c r="A27" i="1"/>
  <c r="G28" i="1"/>
  <c r="H28" i="1"/>
  <c r="A28" i="1"/>
  <c r="G29" i="1"/>
  <c r="H29" i="1"/>
  <c r="A29" i="1"/>
  <c r="G30" i="1"/>
  <c r="H30" i="1"/>
  <c r="A30" i="1"/>
  <c r="G31" i="1"/>
  <c r="H31" i="1"/>
  <c r="A31" i="1"/>
  <c r="G32" i="1"/>
  <c r="H32" i="1"/>
  <c r="A32" i="1"/>
  <c r="G33" i="1"/>
  <c r="H33" i="1"/>
  <c r="A33" i="1"/>
  <c r="G34" i="1"/>
  <c r="H34" i="1"/>
  <c r="A34" i="1"/>
  <c r="G35" i="1"/>
  <c r="H35" i="1"/>
  <c r="A35" i="1"/>
  <c r="G36" i="1"/>
  <c r="H36" i="1"/>
  <c r="A36" i="1"/>
  <c r="G37" i="1"/>
  <c r="H37" i="1"/>
  <c r="A37" i="1"/>
  <c r="G38" i="1"/>
  <c r="H38" i="1"/>
  <c r="A38" i="1"/>
  <c r="G39" i="1"/>
  <c r="H39" i="1"/>
  <c r="A39" i="1"/>
  <c r="G40" i="1"/>
  <c r="H40" i="1"/>
  <c r="A40" i="1"/>
  <c r="G41" i="1"/>
  <c r="H41" i="1"/>
  <c r="A41" i="1"/>
  <c r="G42" i="1"/>
  <c r="H42" i="1"/>
  <c r="A42" i="1"/>
  <c r="G43" i="1"/>
  <c r="H43" i="1"/>
  <c r="A43" i="1"/>
  <c r="G44" i="1"/>
  <c r="H44" i="1"/>
  <c r="A44" i="1"/>
  <c r="G45" i="1"/>
  <c r="H45" i="1"/>
  <c r="A45" i="1"/>
  <c r="G46" i="1"/>
  <c r="H46" i="1"/>
  <c r="A46" i="1"/>
  <c r="G47" i="1"/>
  <c r="H47" i="1"/>
  <c r="A47" i="1"/>
  <c r="G48" i="1"/>
  <c r="H48" i="1"/>
  <c r="A48" i="1"/>
  <c r="G49" i="1"/>
  <c r="H49" i="1"/>
  <c r="A49" i="1"/>
  <c r="G50" i="1"/>
  <c r="H50" i="1"/>
  <c r="A50" i="1"/>
  <c r="G51" i="1"/>
  <c r="H51" i="1"/>
  <c r="A51" i="1"/>
  <c r="G52" i="1"/>
  <c r="H52" i="1"/>
  <c r="A52" i="1"/>
  <c r="G53" i="1"/>
  <c r="H53" i="1"/>
  <c r="A53" i="1"/>
  <c r="G54" i="1"/>
  <c r="H54" i="1"/>
  <c r="A54" i="1"/>
  <c r="G55" i="1"/>
  <c r="H55" i="1"/>
  <c r="A55" i="1"/>
  <c r="G56" i="1"/>
  <c r="H56" i="1"/>
  <c r="A56" i="1"/>
  <c r="G57" i="1"/>
  <c r="H57" i="1"/>
  <c r="A57" i="1"/>
  <c r="G58" i="1"/>
  <c r="H58" i="1"/>
  <c r="A58" i="1"/>
  <c r="G59" i="1"/>
  <c r="H59" i="1"/>
  <c r="A59" i="1"/>
  <c r="G60" i="1"/>
  <c r="H60" i="1"/>
  <c r="A60" i="1"/>
  <c r="G61" i="1"/>
  <c r="H61" i="1"/>
  <c r="A61" i="1"/>
  <c r="C21" i="2"/>
  <c r="C2" i="1"/>
  <c r="I2" i="1"/>
  <c r="D2" i="1"/>
  <c r="E2" i="1"/>
  <c r="C3" i="1"/>
  <c r="I3" i="1"/>
  <c r="D3" i="1"/>
  <c r="C4" i="1"/>
  <c r="I4" i="1"/>
  <c r="D4" i="1"/>
  <c r="C5" i="1"/>
  <c r="I5" i="1"/>
  <c r="D5" i="1"/>
  <c r="C6" i="1"/>
  <c r="I6" i="1"/>
  <c r="D6" i="1"/>
  <c r="C7" i="1"/>
  <c r="I7" i="1"/>
  <c r="D7" i="1"/>
  <c r="C8" i="1"/>
  <c r="I8" i="1"/>
  <c r="D8" i="1"/>
  <c r="C9" i="1"/>
  <c r="I9" i="1"/>
  <c r="D9" i="1"/>
  <c r="C10" i="1"/>
  <c r="I10" i="1"/>
  <c r="D10" i="1"/>
  <c r="C11" i="1"/>
  <c r="I11" i="1"/>
  <c r="D11" i="1"/>
  <c r="C12" i="1"/>
  <c r="I12" i="1"/>
  <c r="D12" i="1"/>
  <c r="C13" i="1"/>
  <c r="I13" i="1"/>
  <c r="D13" i="1"/>
  <c r="C14" i="1"/>
  <c r="I14" i="1"/>
  <c r="D14" i="1"/>
  <c r="C15" i="1"/>
  <c r="I15" i="1"/>
  <c r="D15" i="1"/>
  <c r="C16" i="1"/>
  <c r="I16" i="1"/>
  <c r="D16" i="1"/>
  <c r="C17" i="1"/>
  <c r="I17" i="1"/>
  <c r="D17" i="1"/>
  <c r="C18" i="1"/>
  <c r="I18" i="1"/>
  <c r="D18" i="1"/>
  <c r="C19" i="1"/>
  <c r="I19" i="1"/>
  <c r="D19" i="1"/>
  <c r="C20" i="1"/>
  <c r="I20" i="1"/>
  <c r="D20" i="1"/>
  <c r="C21" i="1"/>
  <c r="I21" i="1"/>
  <c r="D21" i="1"/>
  <c r="C22" i="1"/>
  <c r="I22" i="1"/>
  <c r="D22" i="1"/>
  <c r="C23" i="1"/>
  <c r="I23" i="1"/>
  <c r="D23" i="1"/>
  <c r="C24" i="1"/>
  <c r="I24" i="1"/>
  <c r="D24" i="1"/>
  <c r="C25" i="1"/>
  <c r="I25" i="1"/>
  <c r="D25" i="1"/>
  <c r="C26" i="1"/>
  <c r="I26" i="1"/>
  <c r="D26" i="1"/>
  <c r="C27" i="1"/>
  <c r="I27" i="1"/>
  <c r="D27" i="1"/>
  <c r="C28" i="1"/>
  <c r="I28" i="1"/>
  <c r="D28" i="1"/>
  <c r="E28" i="1"/>
  <c r="C20" i="2"/>
  <c r="C18" i="2"/>
  <c r="C19" i="2"/>
  <c r="C26" i="2"/>
  <c r="B15" i="2"/>
  <c r="B27" i="2"/>
  <c r="C9" i="2"/>
  <c r="E16" i="1"/>
  <c r="C29" i="1"/>
  <c r="I29" i="1"/>
  <c r="D29" i="1"/>
  <c r="C30" i="1"/>
  <c r="I30" i="1"/>
  <c r="D30" i="1"/>
  <c r="C31" i="1"/>
  <c r="I31" i="1"/>
  <c r="D31" i="1"/>
  <c r="C32" i="1"/>
  <c r="I32" i="1"/>
  <c r="D32" i="1"/>
  <c r="C33" i="1"/>
  <c r="I33" i="1"/>
  <c r="D33" i="1"/>
  <c r="C34" i="1"/>
  <c r="I34" i="1"/>
  <c r="D34" i="1"/>
  <c r="C35" i="1"/>
  <c r="I35" i="1"/>
  <c r="D35" i="1"/>
  <c r="C36" i="1"/>
  <c r="I36" i="1"/>
  <c r="D36" i="1"/>
  <c r="C37" i="1"/>
  <c r="I37" i="1"/>
  <c r="D37" i="1"/>
  <c r="C38" i="1"/>
  <c r="I38" i="1"/>
  <c r="D38" i="1"/>
  <c r="C39" i="1"/>
  <c r="I39" i="1"/>
  <c r="D39" i="1"/>
  <c r="C40" i="1"/>
  <c r="I40" i="1"/>
  <c r="D40" i="1"/>
  <c r="C41" i="1"/>
  <c r="I41" i="1"/>
  <c r="D41" i="1"/>
  <c r="E41" i="1"/>
  <c r="C22" i="2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L2" i="1"/>
  <c r="C25" i="2"/>
  <c r="F2" i="1"/>
  <c r="F3" i="1"/>
  <c r="L3" i="1"/>
  <c r="E3" i="1"/>
  <c r="F4" i="1"/>
  <c r="L4" i="1"/>
  <c r="E4" i="1"/>
  <c r="L5" i="1"/>
  <c r="E5" i="1"/>
  <c r="F5" i="1"/>
  <c r="F6" i="1"/>
  <c r="L6" i="1"/>
  <c r="E6" i="1"/>
  <c r="F7" i="1"/>
  <c r="L7" i="1"/>
  <c r="E7" i="1"/>
  <c r="F8" i="1"/>
  <c r="L8" i="1"/>
  <c r="E8" i="1"/>
  <c r="F9" i="1"/>
  <c r="L9" i="1"/>
  <c r="E9" i="1"/>
  <c r="L10" i="1"/>
  <c r="E10" i="1"/>
  <c r="F10" i="1"/>
  <c r="L11" i="1"/>
  <c r="E11" i="1"/>
  <c r="F11" i="1"/>
  <c r="L12" i="1"/>
  <c r="F12" i="1"/>
  <c r="E12" i="1"/>
  <c r="L13" i="1"/>
  <c r="F13" i="1"/>
  <c r="E13" i="1"/>
  <c r="F14" i="1"/>
  <c r="L14" i="1"/>
  <c r="E14" i="1"/>
  <c r="F15" i="1"/>
  <c r="L15" i="1"/>
  <c r="E15" i="1"/>
  <c r="F16" i="1"/>
  <c r="L16" i="1"/>
  <c r="L17" i="1"/>
  <c r="E17" i="1"/>
  <c r="F17" i="1"/>
  <c r="F18" i="1"/>
  <c r="L18" i="1"/>
  <c r="F19" i="1"/>
  <c r="E18" i="1"/>
  <c r="E19" i="1"/>
  <c r="L19" i="1"/>
  <c r="L20" i="1"/>
  <c r="F20" i="1"/>
  <c r="E20" i="1"/>
  <c r="E21" i="1"/>
  <c r="L21" i="1"/>
  <c r="F21" i="1"/>
  <c r="L22" i="1"/>
  <c r="F22" i="1"/>
  <c r="E22" i="1"/>
  <c r="F23" i="1"/>
  <c r="L23" i="1"/>
  <c r="E23" i="1"/>
  <c r="F24" i="1"/>
  <c r="L24" i="1"/>
  <c r="E24" i="1"/>
  <c r="F25" i="1"/>
  <c r="L25" i="1"/>
  <c r="E25" i="1"/>
  <c r="F26" i="1"/>
  <c r="L26" i="1"/>
  <c r="E26" i="1"/>
  <c r="F27" i="1"/>
  <c r="L27" i="1"/>
  <c r="E27" i="1"/>
  <c r="F28" i="1"/>
  <c r="L28" i="1"/>
  <c r="F29" i="1"/>
  <c r="L29" i="1"/>
  <c r="E29" i="1"/>
  <c r="F30" i="1"/>
  <c r="L30" i="1"/>
  <c r="E30" i="1"/>
  <c r="F32" i="1"/>
  <c r="L31" i="1"/>
  <c r="E31" i="1"/>
  <c r="F31" i="1"/>
  <c r="L32" i="1"/>
  <c r="E32" i="1"/>
  <c r="F33" i="1"/>
  <c r="L33" i="1"/>
  <c r="E33" i="1"/>
  <c r="L34" i="1"/>
  <c r="F35" i="1"/>
  <c r="L35" i="1"/>
  <c r="F34" i="1"/>
  <c r="E34" i="1"/>
  <c r="F36" i="1"/>
  <c r="E35" i="1"/>
  <c r="E36" i="1"/>
  <c r="F37" i="1"/>
  <c r="L36" i="1"/>
  <c r="L37" i="1"/>
  <c r="F38" i="1"/>
  <c r="E37" i="1"/>
  <c r="L38" i="1"/>
  <c r="E38" i="1"/>
  <c r="F39" i="1"/>
  <c r="L39" i="1"/>
  <c r="E39" i="1"/>
  <c r="L40" i="1"/>
  <c r="F40" i="1"/>
  <c r="E40" i="1"/>
  <c r="F41" i="1"/>
  <c r="L41" i="1"/>
  <c r="C42" i="1"/>
  <c r="L42" i="1"/>
  <c r="D42" i="1"/>
  <c r="F42" i="1"/>
  <c r="E42" i="1"/>
  <c r="C43" i="1"/>
  <c r="D43" i="1"/>
  <c r="L43" i="1"/>
  <c r="F43" i="1"/>
  <c r="E43" i="1"/>
  <c r="C44" i="1"/>
  <c r="L44" i="1"/>
  <c r="D44" i="1"/>
  <c r="F44" i="1"/>
  <c r="E44" i="1"/>
  <c r="C45" i="1"/>
  <c r="D45" i="1"/>
  <c r="F45" i="1"/>
  <c r="C46" i="1"/>
  <c r="L45" i="1"/>
  <c r="D46" i="1"/>
  <c r="F46" i="1"/>
  <c r="C47" i="1"/>
  <c r="L46" i="1"/>
  <c r="E45" i="1"/>
  <c r="D47" i="1"/>
  <c r="F47" i="1"/>
  <c r="C48" i="1"/>
  <c r="L47" i="1"/>
  <c r="E46" i="1"/>
  <c r="E47" i="1"/>
  <c r="D48" i="1"/>
  <c r="F48" i="1"/>
  <c r="L48" i="1"/>
  <c r="C49" i="1"/>
  <c r="D49" i="1"/>
  <c r="F49" i="1"/>
  <c r="E48" i="1"/>
  <c r="L49" i="1"/>
  <c r="E49" i="1"/>
  <c r="C50" i="1"/>
  <c r="D50" i="1"/>
  <c r="F50" i="1"/>
  <c r="L50" i="1"/>
  <c r="E50" i="1"/>
  <c r="C51" i="1"/>
  <c r="D51" i="1"/>
  <c r="F51" i="1"/>
  <c r="L51" i="1"/>
  <c r="E51" i="1"/>
  <c r="C52" i="1"/>
  <c r="D52" i="1"/>
  <c r="F52" i="1"/>
  <c r="L52" i="1"/>
  <c r="C53" i="1"/>
  <c r="D53" i="1"/>
  <c r="F53" i="1"/>
  <c r="E52" i="1"/>
  <c r="L53" i="1"/>
  <c r="C54" i="1"/>
  <c r="D54" i="1"/>
  <c r="F54" i="1"/>
  <c r="E53" i="1"/>
  <c r="L54" i="1"/>
  <c r="E54" i="1"/>
  <c r="C55" i="1"/>
  <c r="D55" i="1"/>
  <c r="F55" i="1"/>
  <c r="L55" i="1"/>
  <c r="C56" i="1"/>
  <c r="D56" i="1"/>
  <c r="F56" i="1"/>
  <c r="E55" i="1"/>
  <c r="L56" i="1"/>
  <c r="C57" i="1"/>
  <c r="D57" i="1"/>
  <c r="F57" i="1"/>
  <c r="E56" i="1"/>
  <c r="L57" i="1"/>
  <c r="E57" i="1"/>
  <c r="C58" i="1"/>
  <c r="D58" i="1"/>
  <c r="F58" i="1"/>
  <c r="L58" i="1"/>
  <c r="E58" i="1"/>
  <c r="C59" i="1"/>
  <c r="D59" i="1"/>
  <c r="F59" i="1"/>
  <c r="L59" i="1"/>
  <c r="E59" i="1"/>
  <c r="C60" i="1"/>
  <c r="D60" i="1"/>
  <c r="F60" i="1"/>
  <c r="L60" i="1"/>
  <c r="E60" i="1"/>
  <c r="C61" i="1"/>
  <c r="D61" i="1"/>
  <c r="F61" i="1"/>
  <c r="L61" i="1"/>
  <c r="E61" i="1"/>
</calcChain>
</file>

<file path=xl/sharedStrings.xml><?xml version="1.0" encoding="utf-8"?>
<sst xmlns="http://schemas.openxmlformats.org/spreadsheetml/2006/main" count="59" uniqueCount="59">
  <si>
    <t>Rente</t>
  </si>
  <si>
    <t>Beheer %</t>
  </si>
  <si>
    <t>Rente %</t>
  </si>
  <si>
    <t>Benodigde overwaarde</t>
  </si>
  <si>
    <t>Besteedbare overwaarde</t>
  </si>
  <si>
    <t>Leeftijd</t>
  </si>
  <si>
    <t>Toetsdatum</t>
  </si>
  <si>
    <t>Rentepercentage</t>
  </si>
  <si>
    <t>Beheervergoeding</t>
  </si>
  <si>
    <t>AOW-gerechtigde leeftijd</t>
  </si>
  <si>
    <t>Rente
per maand</t>
  </si>
  <si>
    <t>Beheer-
vergoeding</t>
  </si>
  <si>
    <t>Aflossing</t>
  </si>
  <si>
    <t>Benodigde inschrijving</t>
  </si>
  <si>
    <t>Verplichte ruimte bovenop inschrijving</t>
  </si>
  <si>
    <t>80% WOZ-/taxatiewaarde</t>
  </si>
  <si>
    <t>Looptijd lening (in jaren)</t>
  </si>
  <si>
    <t>Percentage van WOZ-/taxatiewaarde</t>
  </si>
  <si>
    <t>Overwaarde</t>
  </si>
  <si>
    <t>Toetsresultaat leeftijd</t>
  </si>
  <si>
    <t>positief</t>
  </si>
  <si>
    <t>negatief</t>
  </si>
  <si>
    <t>Toetsresultaten</t>
  </si>
  <si>
    <t>Minimum van 
leeftijden</t>
  </si>
  <si>
    <t>Looptijd aftoppen na leningjaar waarin jongste aanvrager</t>
  </si>
  <si>
    <t>wordt.</t>
  </si>
  <si>
    <t>= invoervelden</t>
  </si>
  <si>
    <t>Afgetopt t/m leningjaar</t>
  </si>
  <si>
    <t>Leningjaar</t>
  </si>
  <si>
    <t>Hoofdsom aan
begin leningjaar</t>
  </si>
  <si>
    <t>Hoofdsom aan
einde leningjaar</t>
  </si>
  <si>
    <t>Leeftijd aanvrager 1
aan begin leningjaar</t>
  </si>
  <si>
    <t>Leeftijd aanvrager 2
aan begin leningjaar</t>
  </si>
  <si>
    <t xml:space="preserve"> </t>
  </si>
  <si>
    <t>Jongste aanvrager is minimaal (57 jaar en 9 maanden)</t>
  </si>
  <si>
    <t>Uw geboortedatum</t>
  </si>
  <si>
    <t>Uw leeftijd</t>
  </si>
  <si>
    <t>Geboortedatum partner</t>
  </si>
  <si>
    <t>Leeftijd van uw partner</t>
  </si>
  <si>
    <t>Hoogte gewenste Verzilverlening</t>
  </si>
  <si>
    <t xml:space="preserve">Indien van toepassing, vult u hier de leeftijd van uw partner in. Anders kunt u dit veld leeg laten. </t>
  </si>
  <si>
    <t>WOZ-/taxatiewaarde van uw woning</t>
  </si>
  <si>
    <t>Restschuld van uw huidige hypotheken</t>
  </si>
  <si>
    <t xml:space="preserve">Vul hier het door u gewenste leenbedrag voor de Verzilverlening in. </t>
  </si>
  <si>
    <t xml:space="preserve">Vul hier de huidige restschuld van de hypothe(e)k(en) in die u huidig al op uw woning heeft. Deze kunt u vinden op uw hypotheekjaaropgave of in het portaal van uw bank. </t>
  </si>
  <si>
    <t>Benodigde overwaarde akkoord</t>
  </si>
  <si>
    <t>Benodigde overwaarde voldoet niet</t>
  </si>
  <si>
    <t>Leeftijd akkoord</t>
  </si>
  <si>
    <t>De berekende overwaarde is 80% van de WOZ waarde van uw huidige woning</t>
  </si>
  <si>
    <t xml:space="preserve">Van de berekende overwaarde betaald u allereerst de restschuld van uw huidige hypotheken. Hierna houdt u een besteedbare overwaarde over. </t>
  </si>
  <si>
    <t>U, of uw partner, is te jong voor deze lening</t>
  </si>
  <si>
    <t>U heeft een overwaarde nodig voor de hoogte van de gewenste Verzilverlening, plus de rente, gerelateerd aan het bereiken van het 98e levensjaar van de jongste aanvrager</t>
  </si>
  <si>
    <t>Tussen resultaten</t>
  </si>
  <si>
    <t xml:space="preserve">U komt helaas niet in aanmerking voor de Verzilverlening. Het is mogelijk dat uw leeftijd niet voldoet of dat u onvoldoende overwaarde heeft. </t>
  </si>
  <si>
    <t>Voor de Verzilverlening geldt een minimum leeftijd van 10 jaar voor de wettelijke AOW-leeftijd (op dit moment ca. 58 jaar).</t>
  </si>
  <si>
    <t xml:space="preserve">U komt in aanmerking voor de Verzilverlening. Neem eerst contact op met uw gemeente voor het opvragen van een toewijzingsbrief. Hierna kunt u de lening bij SVn aanvragen. </t>
  </si>
  <si>
    <t xml:space="preserve">Vul hier de WOZ-waarde van uw woning in. Deze kunt u vinden op: https://www.wozwaardeloket.nl/. </t>
  </si>
  <si>
    <t>Voor de Verzilverlening moet er sprake zijn van voldoende overwaarde; 80% van de WOZ-/taxatiewaarde minus de schuldrest van uw huidige hypotheken, moet voldoende zijn voor de hoogte van de Verzilverlening plus de rente die ieder jaar wordt bijgeschreven.</t>
  </si>
  <si>
    <t xml:space="preserve">Deze calculatie is een indicatie. Neem contact met ons op voor meer informatie.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</si>
</sst>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\€#,##0"/>
    <numFmt numFmtId="165" formatCode="&quot;€&quot;\ #,##0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2" fillId="2" borderId="1" xfId="0" applyFont="1" applyFill="1" applyBorder="1"/>
    <xf numFmtId="0" fontId="0" fillId="2" borderId="1" xfId="0" applyFill="1" applyBorder="1"/>
    <xf numFmtId="165" fontId="0" fillId="2" borderId="1" xfId="0" applyNumberFormat="1" applyFill="1" applyBorder="1"/>
    <xf numFmtId="44" fontId="0" fillId="2" borderId="0" xfId="0" applyNumberFormat="1" applyFill="1"/>
    <xf numFmtId="164" fontId="1" fillId="2" borderId="0" xfId="0" applyNumberFormat="1" applyFont="1" applyFill="1"/>
    <xf numFmtId="10" fontId="0" fillId="2" borderId="1" xfId="0" applyNumberFormat="1" applyFill="1" applyBorder="1"/>
    <xf numFmtId="9" fontId="0" fillId="2" borderId="1" xfId="0" applyNumberFormat="1" applyFill="1" applyBorder="1"/>
    <xf numFmtId="0" fontId="0" fillId="2" borderId="1" xfId="0" applyFill="1" applyBorder="1" applyAlignment="1">
      <alignment wrapText="1"/>
    </xf>
    <xf numFmtId="44" fontId="0" fillId="2" borderId="1" xfId="0" applyNumberFormat="1" applyFill="1" applyBorder="1"/>
    <xf numFmtId="44" fontId="0" fillId="2" borderId="1" xfId="0" applyNumberFormat="1" applyFill="1" applyBorder="1" applyAlignment="1">
      <alignment wrapText="1"/>
    </xf>
    <xf numFmtId="0" fontId="0" fillId="2" borderId="0" xfId="0" quotePrefix="1" applyFill="1" applyAlignment="1"/>
    <xf numFmtId="0" fontId="0" fillId="2" borderId="0" xfId="0" applyFill="1" applyAlignment="1">
      <alignment wrapText="1"/>
    </xf>
    <xf numFmtId="0" fontId="3" fillId="3" borderId="0" xfId="0" quotePrefix="1" applyFont="1" applyFill="1"/>
    <xf numFmtId="0" fontId="3" fillId="2" borderId="0" xfId="0" applyFont="1" applyFill="1"/>
    <xf numFmtId="0" fontId="3" fillId="2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10" fontId="3" fillId="3" borderId="1" xfId="0" applyNumberFormat="1" applyFont="1" applyFill="1" applyBorder="1" applyProtection="1">
      <protection locked="0"/>
    </xf>
    <xf numFmtId="164" fontId="4" fillId="2" borderId="0" xfId="0" applyNumberFormat="1" applyFont="1" applyFill="1"/>
    <xf numFmtId="0" fontId="3" fillId="2" borderId="2" xfId="0" applyFont="1" applyFill="1" applyBorder="1"/>
    <xf numFmtId="0" fontId="3" fillId="2" borderId="3" xfId="0" applyFont="1" applyFill="1" applyBorder="1"/>
    <xf numFmtId="165" fontId="3" fillId="3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right"/>
    </xf>
    <xf numFmtId="0" fontId="5" fillId="2" borderId="2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0" xfId="0" applyFont="1" applyFill="1" applyBorder="1"/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14" fontId="3" fillId="3" borderId="0" xfId="0" applyNumberFormat="1" applyFont="1" applyFill="1" applyBorder="1" applyProtection="1">
      <protection locked="0"/>
    </xf>
    <xf numFmtId="10" fontId="3" fillId="3" borderId="0" xfId="0" applyNumberFormat="1" applyFont="1" applyFill="1" applyBorder="1" applyProtection="1">
      <protection locked="0"/>
    </xf>
    <xf numFmtId="0" fontId="3" fillId="2" borderId="0" xfId="0" applyFont="1" applyFill="1" applyBorder="1" applyAlignment="1">
      <alignment horizontal="left"/>
    </xf>
    <xf numFmtId="165" fontId="3" fillId="2" borderId="0" xfId="0" applyNumberFormat="1" applyFont="1" applyFill="1" applyBorder="1"/>
    <xf numFmtId="3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0" fillId="2" borderId="0" xfId="0" applyFont="1" applyFill="1" applyAlignment="1">
      <alignment vertical="center"/>
    </xf>
    <xf numFmtId="0" fontId="6" fillId="2" borderId="0" xfId="0" applyFont="1" applyFill="1"/>
  </cellXfs>
  <cellStyles count="1">
    <cellStyle name="Standaard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1"/>
  <sheetViews>
    <sheetView tabSelected="1" zoomScale="175" zoomScaleNormal="175" workbookViewId="0">
      <selection activeCell="B29" sqref="B29"/>
    </sheetView>
  </sheetViews>
  <sheetFormatPr defaultColWidth="9.109375" defaultRowHeight="14.4" x14ac:dyDescent="0.3"/>
  <cols>
    <col min="1" max="1" width="2.88671875" style="1" customWidth="1"/>
    <col min="2" max="2" width="42.77734375" style="1" bestFit="1" customWidth="1"/>
    <col min="3" max="3" width="12.109375" style="1" bestFit="1" customWidth="1"/>
    <col min="4" max="4" width="1.77734375" style="1" customWidth="1"/>
    <col min="5" max="16384" width="9.109375" style="1"/>
  </cols>
  <sheetData>
    <row r="1" spans="2:7" ht="18" x14ac:dyDescent="0.35">
      <c r="B1" s="14" t="s">
        <v>26</v>
      </c>
      <c r="C1" s="15"/>
      <c r="D1" s="15"/>
    </row>
    <row r="2" spans="2:7" ht="18" x14ac:dyDescent="0.35">
      <c r="B2" s="15"/>
      <c r="C2" s="15"/>
      <c r="D2" s="15"/>
    </row>
    <row r="3" spans="2:7" ht="18" hidden="1" x14ac:dyDescent="0.35">
      <c r="B3" s="16" t="s">
        <v>6</v>
      </c>
      <c r="C3" s="17">
        <f ca="1">TODAY()</f>
        <v>44244</v>
      </c>
      <c r="D3" s="30"/>
    </row>
    <row r="4" spans="2:7" ht="18" hidden="1" x14ac:dyDescent="0.35">
      <c r="B4" s="16" t="s">
        <v>7</v>
      </c>
      <c r="C4" s="18">
        <v>1.7000000000000001E-2</v>
      </c>
      <c r="D4" s="31"/>
      <c r="G4" s="12"/>
    </row>
    <row r="5" spans="2:7" ht="18" x14ac:dyDescent="0.35">
      <c r="B5" s="15"/>
      <c r="C5" s="19"/>
      <c r="D5" s="19"/>
    </row>
    <row r="6" spans="2:7" ht="18" x14ac:dyDescent="0.35">
      <c r="B6" s="16" t="s">
        <v>35</v>
      </c>
      <c r="C6" s="17">
        <v>18264</v>
      </c>
      <c r="D6" s="32"/>
    </row>
    <row r="7" spans="2:7" ht="18" hidden="1" x14ac:dyDescent="0.35">
      <c r="B7" s="16" t="s">
        <v>36</v>
      </c>
      <c r="C7" s="16">
        <f ca="1">IF(C6="","",IF(DATE(YEAR($C3),MONTH(C6),DAY(C6))&lt;=$C3,YEAR($C3)-YEAR(C6),YEAR($C3)-YEAR(C6)-1))</f>
        <v>71</v>
      </c>
      <c r="D7" s="32"/>
    </row>
    <row r="8" spans="2:7" ht="18" x14ac:dyDescent="0.35">
      <c r="B8" s="16" t="s">
        <v>37</v>
      </c>
      <c r="C8" s="17"/>
      <c r="D8" s="32"/>
      <c r="E8" s="36" t="s">
        <v>40</v>
      </c>
    </row>
    <row r="9" spans="2:7" ht="18" hidden="1" x14ac:dyDescent="0.35">
      <c r="B9" s="16" t="s">
        <v>38</v>
      </c>
      <c r="C9" s="16" t="str">
        <f>IF(C8="","",IF(DATE(YEAR($C3),MONTH(C8),DAY(C8))&lt;=$C3,YEAR($C3)-YEAR(C8),YEAR($C3)-YEAR(C8)-1))</f>
        <v/>
      </c>
      <c r="D9" s="32"/>
      <c r="E9" s="36"/>
    </row>
    <row r="10" spans="2:7" ht="18" x14ac:dyDescent="0.35">
      <c r="B10" s="20" t="str">
        <f ca="1">IF(MIN(C7,C9)&lt;'Vaste gegevens'!C6,'Vaste gegevens'!B14,'Vaste gegevens'!B15)</f>
        <v>Leeftijd akkoord</v>
      </c>
      <c r="C10" s="21"/>
      <c r="D10" s="32"/>
      <c r="E10" s="36" t="s">
        <v>54</v>
      </c>
    </row>
    <row r="11" spans="2:7" ht="18" x14ac:dyDescent="0.35">
      <c r="B11" s="15"/>
      <c r="C11" s="15"/>
      <c r="D11" s="32"/>
      <c r="E11" s="36"/>
    </row>
    <row r="12" spans="2:7" ht="18" x14ac:dyDescent="0.35">
      <c r="B12" s="16" t="s">
        <v>39</v>
      </c>
      <c r="C12" s="22">
        <v>50000</v>
      </c>
      <c r="D12" s="32"/>
      <c r="E12" s="36" t="s">
        <v>43</v>
      </c>
    </row>
    <row r="13" spans="2:7" ht="18" x14ac:dyDescent="0.35">
      <c r="B13" s="16" t="s">
        <v>41</v>
      </c>
      <c r="C13" s="22">
        <v>260000</v>
      </c>
      <c r="D13" s="32"/>
      <c r="E13" s="36" t="s">
        <v>56</v>
      </c>
    </row>
    <row r="14" spans="2:7" ht="18" x14ac:dyDescent="0.35">
      <c r="B14" s="16" t="s">
        <v>42</v>
      </c>
      <c r="C14" s="22">
        <v>100000</v>
      </c>
      <c r="D14" s="32"/>
      <c r="E14" s="36" t="s">
        <v>44</v>
      </c>
    </row>
    <row r="15" spans="2:7" ht="18" x14ac:dyDescent="0.35">
      <c r="B15" s="28" t="str">
        <f ca="1">IF(C26='Vaste gegevens'!B17,'Vaste gegevens'!B20,'Vaste gegevens'!B21)</f>
        <v>Benodigde overwaarde akkoord</v>
      </c>
      <c r="C15" s="29"/>
      <c r="D15" s="32"/>
      <c r="E15" s="36" t="s">
        <v>57</v>
      </c>
    </row>
    <row r="17" spans="2:5" ht="18" hidden="1" x14ac:dyDescent="0.35">
      <c r="B17" s="25" t="s">
        <v>52</v>
      </c>
      <c r="C17" s="21"/>
      <c r="D17" s="27"/>
    </row>
    <row r="18" spans="2:5" ht="18" hidden="1" x14ac:dyDescent="0.35">
      <c r="B18" s="16" t="s">
        <v>15</v>
      </c>
      <c r="C18" s="23">
        <f>C13*'Vaste gegevens'!C3</f>
        <v>208000</v>
      </c>
      <c r="D18" s="33"/>
      <c r="E18" s="1" t="s">
        <v>48</v>
      </c>
    </row>
    <row r="19" spans="2:5" ht="18" hidden="1" x14ac:dyDescent="0.35">
      <c r="B19" s="16" t="s">
        <v>4</v>
      </c>
      <c r="C19" s="23">
        <f>C18-C14</f>
        <v>108000</v>
      </c>
      <c r="D19" s="33"/>
      <c r="E19" s="1" t="s">
        <v>49</v>
      </c>
    </row>
    <row r="20" spans="2:5" ht="18" hidden="1" x14ac:dyDescent="0.35">
      <c r="B20" s="16" t="s">
        <v>3</v>
      </c>
      <c r="C20" s="23">
        <f ca="1">IF(MIN(C7,C9)&gt;=98,Aflostabel!C2,(VLOOKUP(C21,Aflostabel!$B$1:$L$61,4,FALSE)))</f>
        <v>78819.873451021573</v>
      </c>
      <c r="D20" s="33"/>
      <c r="E20" s="1" t="s">
        <v>51</v>
      </c>
    </row>
    <row r="21" spans="2:5" ht="18" hidden="1" x14ac:dyDescent="0.35">
      <c r="B21" s="16" t="s">
        <v>27</v>
      </c>
      <c r="C21" s="24">
        <f ca="1">IF(MIN(C7,C9)&gt;=98,"n.v.t.",MIN(VLOOKUP('Vaste gegevens'!C9,Aflostabel!$A$1:$C$61,2,FALSE)-1,'Vaste gegevens'!C8))</f>
        <v>27</v>
      </c>
      <c r="D21" s="34"/>
      <c r="E21" s="1" t="s">
        <v>33</v>
      </c>
    </row>
    <row r="22" spans="2:5" ht="18" hidden="1" x14ac:dyDescent="0.35">
      <c r="B22" s="16" t="s">
        <v>13</v>
      </c>
      <c r="C22" s="23">
        <f>CEILING(Aflostabel!E41+'Vaste gegevens'!C11,5000)</f>
        <v>105000</v>
      </c>
      <c r="D22" s="33"/>
    </row>
    <row r="23" spans="2:5" ht="18" hidden="1" x14ac:dyDescent="0.35">
      <c r="B23" s="15"/>
      <c r="C23" s="15"/>
      <c r="D23" s="15"/>
    </row>
    <row r="24" spans="2:5" ht="18" hidden="1" x14ac:dyDescent="0.35">
      <c r="B24" s="25" t="s">
        <v>22</v>
      </c>
      <c r="C24" s="21"/>
      <c r="D24" s="27"/>
    </row>
    <row r="25" spans="2:5" ht="18" hidden="1" x14ac:dyDescent="0.35">
      <c r="B25" s="16" t="s">
        <v>5</v>
      </c>
      <c r="C25" s="26" t="str">
        <f ca="1">IF(B10='Vaste gegevens'!B15,'Vaste gegevens'!B17,'Vaste gegevens'!B18)</f>
        <v>positief</v>
      </c>
      <c r="D25" s="35"/>
    </row>
    <row r="26" spans="2:5" ht="18" hidden="1" x14ac:dyDescent="0.35">
      <c r="B26" s="16" t="s">
        <v>18</v>
      </c>
      <c r="C26" s="26" t="str">
        <f ca="1">IF(C19&gt;=C20,'Vaste gegevens'!B17,'Vaste gegevens'!B18)</f>
        <v>positief</v>
      </c>
      <c r="D26" s="35"/>
    </row>
    <row r="27" spans="2:5" ht="23.4" x14ac:dyDescent="0.45">
      <c r="B27" s="37" t="str">
        <f ca="1">IF(AND(B10='Vaste gegevens'!B15,B15='Vaste gegevens'!B20),'Vaste gegevens'!B23,'Vaste gegevens'!B24)</f>
        <v xml:space="preserve">U komt in aanmerking voor de Verzilverlening. Neem eerst contact op met uw gemeente voor het opvragen van een toewijzingsbrief. Hierna kunt u de lening bij SVn aanvragen. </v>
      </c>
      <c r="C27" s="6"/>
      <c r="D27" s="6"/>
    </row>
    <row r="28" spans="2:5" x14ac:dyDescent="0.3">
      <c r="B28" s="1" t="s">
        <v>58</v>
      </c>
      <c r="C28" s="6"/>
      <c r="D28" s="6"/>
    </row>
    <row r="29" spans="2:5" x14ac:dyDescent="0.3">
      <c r="C29" s="6"/>
      <c r="D29" s="6"/>
    </row>
    <row r="30" spans="2:5" x14ac:dyDescent="0.3">
      <c r="C30" s="6"/>
      <c r="D30" s="6"/>
    </row>
    <row r="31" spans="2:5" x14ac:dyDescent="0.3">
      <c r="C31" s="6"/>
      <c r="D31" s="6"/>
    </row>
  </sheetData>
  <mergeCells count="1">
    <mergeCell ref="B15:C15"/>
  </mergeCells>
  <dataValidations xWindow="305" yWindow="231" count="3">
    <dataValidation type="date" allowBlank="1" showInputMessage="1" showErrorMessage="1" sqref="C6 C8" xr:uid="{00000000-0002-0000-0000-000000000000}">
      <formula1>1</formula1>
      <formula2>73050</formula2>
    </dataValidation>
    <dataValidation type="date" operator="greaterThan" allowBlank="1" showInputMessage="1" showErrorMessage="1" prompt="Vul de toetsdatum (staat standaard op vandaag)." sqref="C3:D3" xr:uid="{00000000-0002-0000-0000-000001000000}">
      <formula1>42736</formula1>
    </dataValidation>
    <dataValidation type="whole" operator="greaterThanOrEqual" allowBlank="1" showInputMessage="1" showErrorMessage="1" sqref="C12" xr:uid="{00000000-0002-0000-0000-000002000000}">
      <formula1>2500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EE8A3E8-4F27-464A-8F51-0369B239EFD3}">
            <xm:f>'Vaste gegevens'!$B$24</xm:f>
            <x14:dxf>
              <font>
                <color rgb="FFFF0000"/>
              </font>
            </x14:dxf>
          </x14:cfRule>
          <xm:sqref>B27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2"/>
  <sheetViews>
    <sheetView workbookViewId="0">
      <pane ySplit="1" topLeftCell="A11" activePane="bottomLeft" state="frozen"/>
      <selection pane="bottomLeft" activeCell="A41" sqref="A41"/>
    </sheetView>
  </sheetViews>
  <sheetFormatPr defaultColWidth="9.109375" defaultRowHeight="14.4" outlineLevelRow="1" outlineLevelCol="1" x14ac:dyDescent="0.3"/>
  <cols>
    <col min="1" max="1" width="15.5546875" style="1" customWidth="1" outlineLevel="1"/>
    <col min="2" max="2" width="10.109375" style="1" bestFit="1" customWidth="1"/>
    <col min="3" max="5" width="15.5546875" style="5" customWidth="1"/>
    <col min="6" max="6" width="15.5546875" style="5" hidden="1" customWidth="1" outlineLevel="1"/>
    <col min="7" max="7" width="19.109375" style="5" hidden="1" customWidth="1" outlineLevel="1"/>
    <col min="8" max="8" width="19.109375" style="1" hidden="1" customWidth="1" outlineLevel="1"/>
    <col min="9" max="9" width="15.5546875" style="1" hidden="1" customWidth="1" outlineLevel="1"/>
    <col min="10" max="10" width="15.5546875" style="5" hidden="1" customWidth="1" outlineLevel="1"/>
    <col min="11" max="11" width="15.5546875" style="1" hidden="1" customWidth="1" outlineLevel="1"/>
    <col min="12" max="12" width="15.5546875" style="5" hidden="1" customWidth="1" outlineLevel="1"/>
    <col min="13" max="13" width="9.109375" style="1" collapsed="1"/>
    <col min="14" max="16384" width="9.109375" style="1"/>
  </cols>
  <sheetData>
    <row r="1" spans="1:12" ht="28.8" x14ac:dyDescent="0.3">
      <c r="A1" s="13" t="s">
        <v>23</v>
      </c>
      <c r="B1" s="9" t="s">
        <v>28</v>
      </c>
      <c r="C1" s="11" t="s">
        <v>29</v>
      </c>
      <c r="D1" s="10" t="s">
        <v>0</v>
      </c>
      <c r="E1" s="11" t="s">
        <v>30</v>
      </c>
      <c r="F1" s="11" t="s">
        <v>10</v>
      </c>
      <c r="G1" s="11" t="s">
        <v>31</v>
      </c>
      <c r="H1" s="11" t="s">
        <v>32</v>
      </c>
      <c r="I1" s="3" t="s">
        <v>2</v>
      </c>
      <c r="J1" s="10" t="s">
        <v>12</v>
      </c>
      <c r="K1" s="3" t="s">
        <v>1</v>
      </c>
      <c r="L1" s="11" t="s">
        <v>11</v>
      </c>
    </row>
    <row r="2" spans="1:12" x14ac:dyDescent="0.3">
      <c r="A2" s="3">
        <f ca="1">MIN(G2:H2)</f>
        <v>71</v>
      </c>
      <c r="B2" s="3">
        <v>1</v>
      </c>
      <c r="C2" s="10">
        <f>SUM(Invoer!C12)</f>
        <v>50000</v>
      </c>
      <c r="D2" s="10">
        <f t="shared" ref="D2:D33" si="0">C2*I2</f>
        <v>850.00000000000011</v>
      </c>
      <c r="E2" s="10">
        <f t="shared" ref="E2:E33" si="1">C2+D2</f>
        <v>50850</v>
      </c>
      <c r="F2" s="10">
        <f t="shared" ref="F2:F33" si="2">D2/12</f>
        <v>70.833333333333343</v>
      </c>
      <c r="G2" s="3">
        <f ca="1">Invoer!C7</f>
        <v>71</v>
      </c>
      <c r="H2" s="3" t="str">
        <f>IF(Invoer!C$9="","",Invoer!C9)</f>
        <v/>
      </c>
      <c r="I2" s="7">
        <f>Invoer!C4</f>
        <v>1.7000000000000001E-2</v>
      </c>
      <c r="J2" s="10">
        <v>0</v>
      </c>
      <c r="K2" s="7">
        <f>'Vaste gegevens'!C2</f>
        <v>5.0000000000000001E-3</v>
      </c>
      <c r="L2" s="10">
        <f t="shared" ref="L2:L33" si="3">SUM(C2*K2)</f>
        <v>250</v>
      </c>
    </row>
    <row r="3" spans="1:12" x14ac:dyDescent="0.3">
      <c r="A3" s="3">
        <f t="shared" ref="A3:A61" ca="1" si="4">MIN(G3:H3)</f>
        <v>72</v>
      </c>
      <c r="B3" s="3">
        <f>B2+1</f>
        <v>2</v>
      </c>
      <c r="C3" s="10">
        <f>E2</f>
        <v>50850</v>
      </c>
      <c r="D3" s="10">
        <f t="shared" si="0"/>
        <v>864.45</v>
      </c>
      <c r="E3" s="10">
        <f t="shared" si="1"/>
        <v>51714.45</v>
      </c>
      <c r="F3" s="10">
        <f t="shared" si="2"/>
        <v>72.037500000000009</v>
      </c>
      <c r="G3" s="3">
        <f ca="1">G2+1</f>
        <v>72</v>
      </c>
      <c r="H3" s="3" t="str">
        <f>IF(Invoer!C$9="","",H2+1)</f>
        <v/>
      </c>
      <c r="I3" s="7">
        <f>I2</f>
        <v>1.7000000000000001E-2</v>
      </c>
      <c r="J3" s="10">
        <v>0</v>
      </c>
      <c r="K3" s="7">
        <f>K2</f>
        <v>5.0000000000000001E-3</v>
      </c>
      <c r="L3" s="10">
        <f t="shared" si="3"/>
        <v>254.25</v>
      </c>
    </row>
    <row r="4" spans="1:12" x14ac:dyDescent="0.3">
      <c r="A4" s="3">
        <f t="shared" ca="1" si="4"/>
        <v>73</v>
      </c>
      <c r="B4" s="3">
        <f t="shared" ref="B4:B61" si="5">B3+1</f>
        <v>3</v>
      </c>
      <c r="C4" s="10">
        <f>SUM(Aflostabel!C3:D3)</f>
        <v>51714.45</v>
      </c>
      <c r="D4" s="10">
        <f t="shared" si="0"/>
        <v>879.14565000000005</v>
      </c>
      <c r="E4" s="10">
        <f t="shared" si="1"/>
        <v>52593.595649999996</v>
      </c>
      <c r="F4" s="10">
        <f t="shared" si="2"/>
        <v>73.262137500000009</v>
      </c>
      <c r="G4" s="3">
        <f t="shared" ref="G4:G61" ca="1" si="6">G3+1</f>
        <v>73</v>
      </c>
      <c r="H4" s="3" t="str">
        <f>IF(Invoer!C$9="","",H3+1)</f>
        <v/>
      </c>
      <c r="I4" s="7">
        <f t="shared" ref="I4:I61" si="7">I3</f>
        <v>1.7000000000000001E-2</v>
      </c>
      <c r="J4" s="10">
        <v>0</v>
      </c>
      <c r="K4" s="7">
        <f t="shared" ref="K4:K61" si="8">K3</f>
        <v>5.0000000000000001E-3</v>
      </c>
      <c r="L4" s="10">
        <f t="shared" si="3"/>
        <v>258.57225</v>
      </c>
    </row>
    <row r="5" spans="1:12" x14ac:dyDescent="0.3">
      <c r="A5" s="3">
        <f t="shared" ca="1" si="4"/>
        <v>74</v>
      </c>
      <c r="B5" s="3">
        <f t="shared" si="5"/>
        <v>4</v>
      </c>
      <c r="C5" s="10">
        <f>SUM(Aflostabel!C4:D4)</f>
        <v>52593.595649999996</v>
      </c>
      <c r="D5" s="10">
        <f t="shared" si="0"/>
        <v>894.09112604999996</v>
      </c>
      <c r="E5" s="10">
        <f t="shared" si="1"/>
        <v>53487.686776049995</v>
      </c>
      <c r="F5" s="10">
        <f t="shared" si="2"/>
        <v>74.507593837499996</v>
      </c>
      <c r="G5" s="3">
        <f t="shared" ca="1" si="6"/>
        <v>74</v>
      </c>
      <c r="H5" s="3" t="str">
        <f>IF(Invoer!C$9="","",H4+1)</f>
        <v/>
      </c>
      <c r="I5" s="7">
        <f t="shared" si="7"/>
        <v>1.7000000000000001E-2</v>
      </c>
      <c r="J5" s="10">
        <v>0</v>
      </c>
      <c r="K5" s="7">
        <f t="shared" si="8"/>
        <v>5.0000000000000001E-3</v>
      </c>
      <c r="L5" s="10">
        <f t="shared" si="3"/>
        <v>262.96797824999999</v>
      </c>
    </row>
    <row r="6" spans="1:12" x14ac:dyDescent="0.3">
      <c r="A6" s="3">
        <f t="shared" ca="1" si="4"/>
        <v>75</v>
      </c>
      <c r="B6" s="3">
        <f t="shared" si="5"/>
        <v>5</v>
      </c>
      <c r="C6" s="10">
        <f>SUM(Aflostabel!C5:D5)</f>
        <v>53487.686776049995</v>
      </c>
      <c r="D6" s="10">
        <f t="shared" si="0"/>
        <v>909.29067519285002</v>
      </c>
      <c r="E6" s="10">
        <f t="shared" si="1"/>
        <v>54396.977451242848</v>
      </c>
      <c r="F6" s="10">
        <f t="shared" si="2"/>
        <v>75.774222932737501</v>
      </c>
      <c r="G6" s="3">
        <f t="shared" ca="1" si="6"/>
        <v>75</v>
      </c>
      <c r="H6" s="3" t="str">
        <f>IF(Invoer!C$9="","",H5+1)</f>
        <v/>
      </c>
      <c r="I6" s="7">
        <f t="shared" si="7"/>
        <v>1.7000000000000001E-2</v>
      </c>
      <c r="J6" s="10">
        <v>0</v>
      </c>
      <c r="K6" s="7">
        <f t="shared" si="8"/>
        <v>5.0000000000000001E-3</v>
      </c>
      <c r="L6" s="10">
        <f t="shared" si="3"/>
        <v>267.43843388024999</v>
      </c>
    </row>
    <row r="7" spans="1:12" x14ac:dyDescent="0.3">
      <c r="A7" s="3">
        <f t="shared" ca="1" si="4"/>
        <v>76</v>
      </c>
      <c r="B7" s="3">
        <f t="shared" si="5"/>
        <v>6</v>
      </c>
      <c r="C7" s="10">
        <f>SUM(Aflostabel!C6:D6)</f>
        <v>54396.977451242848</v>
      </c>
      <c r="D7" s="10">
        <f t="shared" si="0"/>
        <v>924.7486166711285</v>
      </c>
      <c r="E7" s="10">
        <f t="shared" si="1"/>
        <v>55321.72606791398</v>
      </c>
      <c r="F7" s="10">
        <f t="shared" si="2"/>
        <v>77.062384722594047</v>
      </c>
      <c r="G7" s="3">
        <f t="shared" ca="1" si="6"/>
        <v>76</v>
      </c>
      <c r="H7" s="3" t="str">
        <f>IF(Invoer!C$9="","",H6+1)</f>
        <v/>
      </c>
      <c r="I7" s="7">
        <f t="shared" si="7"/>
        <v>1.7000000000000001E-2</v>
      </c>
      <c r="J7" s="10">
        <v>0</v>
      </c>
      <c r="K7" s="7">
        <f t="shared" si="8"/>
        <v>5.0000000000000001E-3</v>
      </c>
      <c r="L7" s="10">
        <f t="shared" si="3"/>
        <v>271.98488725621422</v>
      </c>
    </row>
    <row r="8" spans="1:12" x14ac:dyDescent="0.3">
      <c r="A8" s="3">
        <f t="shared" ca="1" si="4"/>
        <v>77</v>
      </c>
      <c r="B8" s="3">
        <f t="shared" si="5"/>
        <v>7</v>
      </c>
      <c r="C8" s="10">
        <f>SUM(Aflostabel!C7:D7)</f>
        <v>55321.72606791398</v>
      </c>
      <c r="D8" s="10">
        <f t="shared" si="0"/>
        <v>940.46934315453768</v>
      </c>
      <c r="E8" s="10">
        <f t="shared" si="1"/>
        <v>56262.195411068518</v>
      </c>
      <c r="F8" s="10">
        <f t="shared" si="2"/>
        <v>78.372445262878145</v>
      </c>
      <c r="G8" s="3">
        <f t="shared" ca="1" si="6"/>
        <v>77</v>
      </c>
      <c r="H8" s="3" t="str">
        <f>IF(Invoer!C$9="","",H7+1)</f>
        <v/>
      </c>
      <c r="I8" s="7">
        <f t="shared" si="7"/>
        <v>1.7000000000000001E-2</v>
      </c>
      <c r="J8" s="10">
        <v>0</v>
      </c>
      <c r="K8" s="7">
        <f t="shared" si="8"/>
        <v>5.0000000000000001E-3</v>
      </c>
      <c r="L8" s="10">
        <f t="shared" si="3"/>
        <v>276.60863033956991</v>
      </c>
    </row>
    <row r="9" spans="1:12" x14ac:dyDescent="0.3">
      <c r="A9" s="3">
        <f t="shared" ca="1" si="4"/>
        <v>78</v>
      </c>
      <c r="B9" s="3">
        <f t="shared" si="5"/>
        <v>8</v>
      </c>
      <c r="C9" s="10">
        <f>SUM(Aflostabel!C8:D8)</f>
        <v>56262.195411068518</v>
      </c>
      <c r="D9" s="10">
        <f t="shared" si="0"/>
        <v>956.45732198816484</v>
      </c>
      <c r="E9" s="10">
        <f t="shared" si="1"/>
        <v>57218.652733056682</v>
      </c>
      <c r="F9" s="10">
        <f t="shared" si="2"/>
        <v>79.704776832347065</v>
      </c>
      <c r="G9" s="3">
        <f t="shared" ca="1" si="6"/>
        <v>78</v>
      </c>
      <c r="H9" s="3" t="str">
        <f>IF(Invoer!C$9="","",H8+1)</f>
        <v/>
      </c>
      <c r="I9" s="7">
        <f t="shared" si="7"/>
        <v>1.7000000000000001E-2</v>
      </c>
      <c r="J9" s="10">
        <v>0</v>
      </c>
      <c r="K9" s="7">
        <f t="shared" si="8"/>
        <v>5.0000000000000001E-3</v>
      </c>
      <c r="L9" s="10">
        <f t="shared" si="3"/>
        <v>281.31097705534262</v>
      </c>
    </row>
    <row r="10" spans="1:12" x14ac:dyDescent="0.3">
      <c r="A10" s="3">
        <f t="shared" ca="1" si="4"/>
        <v>79</v>
      </c>
      <c r="B10" s="3">
        <f t="shared" si="5"/>
        <v>9</v>
      </c>
      <c r="C10" s="10">
        <f>SUM(Aflostabel!C9:D9)</f>
        <v>57218.652733056682</v>
      </c>
      <c r="D10" s="10">
        <f t="shared" si="0"/>
        <v>972.71709646196371</v>
      </c>
      <c r="E10" s="10">
        <f t="shared" si="1"/>
        <v>58191.369829518648</v>
      </c>
      <c r="F10" s="10">
        <f t="shared" si="2"/>
        <v>81.05975803849698</v>
      </c>
      <c r="G10" s="3">
        <f t="shared" ca="1" si="6"/>
        <v>79</v>
      </c>
      <c r="H10" s="3" t="str">
        <f>IF(Invoer!C$9="","",H9+1)</f>
        <v/>
      </c>
      <c r="I10" s="7">
        <f t="shared" si="7"/>
        <v>1.7000000000000001E-2</v>
      </c>
      <c r="J10" s="10">
        <v>0</v>
      </c>
      <c r="K10" s="7">
        <f t="shared" si="8"/>
        <v>5.0000000000000001E-3</v>
      </c>
      <c r="L10" s="10">
        <f t="shared" si="3"/>
        <v>286.09326366528342</v>
      </c>
    </row>
    <row r="11" spans="1:12" x14ac:dyDescent="0.3">
      <c r="A11" s="3">
        <f t="shared" ca="1" si="4"/>
        <v>80</v>
      </c>
      <c r="B11" s="3">
        <f t="shared" si="5"/>
        <v>10</v>
      </c>
      <c r="C11" s="10">
        <f>SUM(Aflostabel!C10:D10)</f>
        <v>58191.369829518648</v>
      </c>
      <c r="D11" s="10">
        <f t="shared" si="0"/>
        <v>989.25328710181714</v>
      </c>
      <c r="E11" s="10">
        <f t="shared" si="1"/>
        <v>59180.623116620467</v>
      </c>
      <c r="F11" s="10">
        <f t="shared" si="2"/>
        <v>82.437773925151433</v>
      </c>
      <c r="G11" s="3">
        <f t="shared" ca="1" si="6"/>
        <v>80</v>
      </c>
      <c r="H11" s="3" t="str">
        <f>IF(Invoer!C$9="","",H10+1)</f>
        <v/>
      </c>
      <c r="I11" s="7">
        <f t="shared" si="7"/>
        <v>1.7000000000000001E-2</v>
      </c>
      <c r="J11" s="10">
        <v>0</v>
      </c>
      <c r="K11" s="7">
        <f t="shared" si="8"/>
        <v>5.0000000000000001E-3</v>
      </c>
      <c r="L11" s="10">
        <f t="shared" si="3"/>
        <v>290.95684914759323</v>
      </c>
    </row>
    <row r="12" spans="1:12" x14ac:dyDescent="0.3">
      <c r="A12" s="3">
        <f t="shared" ca="1" si="4"/>
        <v>81</v>
      </c>
      <c r="B12" s="3">
        <f t="shared" si="5"/>
        <v>11</v>
      </c>
      <c r="C12" s="10">
        <f>SUM(Aflostabel!C11:D11)</f>
        <v>59180.623116620467</v>
      </c>
      <c r="D12" s="10">
        <f t="shared" si="0"/>
        <v>1006.070592982548</v>
      </c>
      <c r="E12" s="10">
        <f t="shared" si="1"/>
        <v>60186.693709603016</v>
      </c>
      <c r="F12" s="10">
        <f t="shared" si="2"/>
        <v>83.839216081879002</v>
      </c>
      <c r="G12" s="3">
        <f t="shared" ca="1" si="6"/>
        <v>81</v>
      </c>
      <c r="H12" s="3" t="str">
        <f>IF(Invoer!C$9="","",H11+1)</f>
        <v/>
      </c>
      <c r="I12" s="7">
        <f t="shared" si="7"/>
        <v>1.7000000000000001E-2</v>
      </c>
      <c r="J12" s="10">
        <v>0</v>
      </c>
      <c r="K12" s="7">
        <f t="shared" si="8"/>
        <v>5.0000000000000001E-3</v>
      </c>
      <c r="L12" s="10">
        <f t="shared" si="3"/>
        <v>295.90311558310236</v>
      </c>
    </row>
    <row r="13" spans="1:12" x14ac:dyDescent="0.3">
      <c r="A13" s="3">
        <f t="shared" ca="1" si="4"/>
        <v>82</v>
      </c>
      <c r="B13" s="3">
        <f t="shared" si="5"/>
        <v>12</v>
      </c>
      <c r="C13" s="10">
        <f>SUM(Aflostabel!C12:D12)</f>
        <v>60186.693709603016</v>
      </c>
      <c r="D13" s="10">
        <f t="shared" si="0"/>
        <v>1023.1737930632513</v>
      </c>
      <c r="E13" s="10">
        <f t="shared" si="1"/>
        <v>61209.867502666268</v>
      </c>
      <c r="F13" s="10">
        <f t="shared" si="2"/>
        <v>85.264482755270947</v>
      </c>
      <c r="G13" s="3">
        <f t="shared" ca="1" si="6"/>
        <v>82</v>
      </c>
      <c r="H13" s="3" t="str">
        <f>IF(Invoer!C$9="","",H12+1)</f>
        <v/>
      </c>
      <c r="I13" s="7">
        <f t="shared" si="7"/>
        <v>1.7000000000000001E-2</v>
      </c>
      <c r="J13" s="10">
        <v>0</v>
      </c>
      <c r="K13" s="7">
        <f t="shared" si="8"/>
        <v>5.0000000000000001E-3</v>
      </c>
      <c r="L13" s="10">
        <f t="shared" si="3"/>
        <v>300.93346854801507</v>
      </c>
    </row>
    <row r="14" spans="1:12" x14ac:dyDescent="0.3">
      <c r="A14" s="3">
        <f t="shared" ca="1" si="4"/>
        <v>83</v>
      </c>
      <c r="B14" s="3">
        <f t="shared" si="5"/>
        <v>13</v>
      </c>
      <c r="C14" s="10">
        <f>SUM(Aflostabel!C13:D13)</f>
        <v>61209.867502666268</v>
      </c>
      <c r="D14" s="10">
        <f t="shared" si="0"/>
        <v>1040.5677475453267</v>
      </c>
      <c r="E14" s="10">
        <f t="shared" si="1"/>
        <v>62250.435250211594</v>
      </c>
      <c r="F14" s="10">
        <f t="shared" si="2"/>
        <v>86.713978962110559</v>
      </c>
      <c r="G14" s="3">
        <f t="shared" ca="1" si="6"/>
        <v>83</v>
      </c>
      <c r="H14" s="3" t="str">
        <f>IF(Invoer!C$9="","",H13+1)</f>
        <v/>
      </c>
      <c r="I14" s="7">
        <f t="shared" si="7"/>
        <v>1.7000000000000001E-2</v>
      </c>
      <c r="J14" s="10">
        <v>0</v>
      </c>
      <c r="K14" s="7">
        <f t="shared" si="8"/>
        <v>5.0000000000000001E-3</v>
      </c>
      <c r="L14" s="10">
        <f t="shared" si="3"/>
        <v>306.04933751333135</v>
      </c>
    </row>
    <row r="15" spans="1:12" x14ac:dyDescent="0.3">
      <c r="A15" s="3">
        <f t="shared" ca="1" si="4"/>
        <v>84</v>
      </c>
      <c r="B15" s="3">
        <f t="shared" si="5"/>
        <v>14</v>
      </c>
      <c r="C15" s="10">
        <f>SUM(Aflostabel!C14:D14)</f>
        <v>62250.435250211594</v>
      </c>
      <c r="D15" s="10">
        <f t="shared" si="0"/>
        <v>1058.2573992535972</v>
      </c>
      <c r="E15" s="10">
        <f t="shared" si="1"/>
        <v>63308.692649465193</v>
      </c>
      <c r="F15" s="10">
        <f t="shared" si="2"/>
        <v>88.18811660446643</v>
      </c>
      <c r="G15" s="3">
        <f t="shared" ca="1" si="6"/>
        <v>84</v>
      </c>
      <c r="H15" s="3" t="str">
        <f>IF(Invoer!C$9="","",H14+1)</f>
        <v/>
      </c>
      <c r="I15" s="7">
        <f t="shared" si="7"/>
        <v>1.7000000000000001E-2</v>
      </c>
      <c r="J15" s="10">
        <v>0</v>
      </c>
      <c r="K15" s="7">
        <f t="shared" si="8"/>
        <v>5.0000000000000001E-3</v>
      </c>
      <c r="L15" s="10">
        <f t="shared" si="3"/>
        <v>311.25217625105796</v>
      </c>
    </row>
    <row r="16" spans="1:12" x14ac:dyDescent="0.3">
      <c r="A16" s="3">
        <f t="shared" ca="1" si="4"/>
        <v>85</v>
      </c>
      <c r="B16" s="3">
        <f t="shared" si="5"/>
        <v>15</v>
      </c>
      <c r="C16" s="10">
        <f>SUM(Aflostabel!C15:D15)</f>
        <v>63308.692649465193</v>
      </c>
      <c r="D16" s="10">
        <f t="shared" si="0"/>
        <v>1076.2477750409084</v>
      </c>
      <c r="E16" s="10">
        <f t="shared" si="1"/>
        <v>64384.940424506101</v>
      </c>
      <c r="F16" s="10">
        <f t="shared" si="2"/>
        <v>89.687314586742374</v>
      </c>
      <c r="G16" s="3">
        <f t="shared" ca="1" si="6"/>
        <v>85</v>
      </c>
      <c r="H16" s="3" t="str">
        <f>IF(Invoer!C$9="","",H15+1)</f>
        <v/>
      </c>
      <c r="I16" s="7">
        <f t="shared" si="7"/>
        <v>1.7000000000000001E-2</v>
      </c>
      <c r="J16" s="10">
        <v>0</v>
      </c>
      <c r="K16" s="7">
        <f t="shared" si="8"/>
        <v>5.0000000000000001E-3</v>
      </c>
      <c r="L16" s="10">
        <f t="shared" si="3"/>
        <v>316.54346324732597</v>
      </c>
    </row>
    <row r="17" spans="1:12" x14ac:dyDescent="0.3">
      <c r="A17" s="3">
        <f t="shared" ca="1" si="4"/>
        <v>86</v>
      </c>
      <c r="B17" s="3">
        <f t="shared" si="5"/>
        <v>16</v>
      </c>
      <c r="C17" s="10">
        <f>SUM(Aflostabel!C16:D16)</f>
        <v>64384.940424506101</v>
      </c>
      <c r="D17" s="10">
        <f t="shared" si="0"/>
        <v>1094.5439872166039</v>
      </c>
      <c r="E17" s="10">
        <f t="shared" si="1"/>
        <v>65479.484411722704</v>
      </c>
      <c r="F17" s="10">
        <f t="shared" si="2"/>
        <v>91.211998934716988</v>
      </c>
      <c r="G17" s="3">
        <f t="shared" ca="1" si="6"/>
        <v>86</v>
      </c>
      <c r="H17" s="3" t="str">
        <f>IF(Invoer!C$9="","",H16+1)</f>
        <v/>
      </c>
      <c r="I17" s="7">
        <f t="shared" si="7"/>
        <v>1.7000000000000001E-2</v>
      </c>
      <c r="J17" s="10">
        <v>0</v>
      </c>
      <c r="K17" s="7">
        <f t="shared" si="8"/>
        <v>5.0000000000000001E-3</v>
      </c>
      <c r="L17" s="10">
        <f t="shared" si="3"/>
        <v>321.9247021225305</v>
      </c>
    </row>
    <row r="18" spans="1:12" x14ac:dyDescent="0.3">
      <c r="A18" s="3">
        <f t="shared" ca="1" si="4"/>
        <v>87</v>
      </c>
      <c r="B18" s="3">
        <f t="shared" si="5"/>
        <v>17</v>
      </c>
      <c r="C18" s="10">
        <f>SUM(Aflostabel!C17:D17)</f>
        <v>65479.484411722704</v>
      </c>
      <c r="D18" s="10">
        <f t="shared" si="0"/>
        <v>1113.1512349992861</v>
      </c>
      <c r="E18" s="10">
        <f t="shared" si="1"/>
        <v>66592.635646721988</v>
      </c>
      <c r="F18" s="10">
        <f t="shared" si="2"/>
        <v>92.762602916607179</v>
      </c>
      <c r="G18" s="3">
        <f t="shared" ca="1" si="6"/>
        <v>87</v>
      </c>
      <c r="H18" s="3" t="str">
        <f>IF(Invoer!C$9="","",H17+1)</f>
        <v/>
      </c>
      <c r="I18" s="7">
        <f t="shared" si="7"/>
        <v>1.7000000000000001E-2</v>
      </c>
      <c r="J18" s="10">
        <v>0</v>
      </c>
      <c r="K18" s="7">
        <f t="shared" si="8"/>
        <v>5.0000000000000001E-3</v>
      </c>
      <c r="L18" s="10">
        <f t="shared" si="3"/>
        <v>327.39742205861353</v>
      </c>
    </row>
    <row r="19" spans="1:12" x14ac:dyDescent="0.3">
      <c r="A19" s="3">
        <f t="shared" ca="1" si="4"/>
        <v>88</v>
      </c>
      <c r="B19" s="3">
        <f t="shared" si="5"/>
        <v>18</v>
      </c>
      <c r="C19" s="10">
        <f>SUM(Aflostabel!C18:D18)</f>
        <v>66592.635646721988</v>
      </c>
      <c r="D19" s="10">
        <f t="shared" si="0"/>
        <v>1132.0748059942739</v>
      </c>
      <c r="E19" s="10">
        <f t="shared" si="1"/>
        <v>67724.710452716259</v>
      </c>
      <c r="F19" s="10">
        <f t="shared" si="2"/>
        <v>94.339567166189497</v>
      </c>
      <c r="G19" s="3">
        <f t="shared" ca="1" si="6"/>
        <v>88</v>
      </c>
      <c r="H19" s="3" t="str">
        <f>IF(Invoer!C$9="","",H18+1)</f>
        <v/>
      </c>
      <c r="I19" s="7">
        <f t="shared" si="7"/>
        <v>1.7000000000000001E-2</v>
      </c>
      <c r="J19" s="10">
        <v>0</v>
      </c>
      <c r="K19" s="7">
        <f t="shared" si="8"/>
        <v>5.0000000000000001E-3</v>
      </c>
      <c r="L19" s="10">
        <f t="shared" si="3"/>
        <v>332.96317823360994</v>
      </c>
    </row>
    <row r="20" spans="1:12" x14ac:dyDescent="0.3">
      <c r="A20" s="3">
        <f t="shared" ca="1" si="4"/>
        <v>89</v>
      </c>
      <c r="B20" s="3">
        <f t="shared" si="5"/>
        <v>19</v>
      </c>
      <c r="C20" s="10">
        <f>SUM(Aflostabel!C19:D19)</f>
        <v>67724.710452716259</v>
      </c>
      <c r="D20" s="10">
        <f t="shared" si="0"/>
        <v>1151.3200776961764</v>
      </c>
      <c r="E20" s="10">
        <f t="shared" si="1"/>
        <v>68876.030530412434</v>
      </c>
      <c r="F20" s="10">
        <f t="shared" si="2"/>
        <v>95.943339808014699</v>
      </c>
      <c r="G20" s="3">
        <f t="shared" ca="1" si="6"/>
        <v>89</v>
      </c>
      <c r="H20" s="3" t="str">
        <f>IF(Invoer!C$9="","",H19+1)</f>
        <v/>
      </c>
      <c r="I20" s="7">
        <f t="shared" si="7"/>
        <v>1.7000000000000001E-2</v>
      </c>
      <c r="J20" s="10">
        <v>0</v>
      </c>
      <c r="K20" s="7">
        <f t="shared" si="8"/>
        <v>5.0000000000000001E-3</v>
      </c>
      <c r="L20" s="10">
        <f t="shared" si="3"/>
        <v>338.6235522635813</v>
      </c>
    </row>
    <row r="21" spans="1:12" x14ac:dyDescent="0.3">
      <c r="A21" s="3">
        <f t="shared" ca="1" si="4"/>
        <v>90</v>
      </c>
      <c r="B21" s="3">
        <f t="shared" si="5"/>
        <v>20</v>
      </c>
      <c r="C21" s="10">
        <f>SUM(Aflostabel!C20:D20)</f>
        <v>68876.030530412434</v>
      </c>
      <c r="D21" s="10">
        <f t="shared" si="0"/>
        <v>1170.8925190170114</v>
      </c>
      <c r="E21" s="10">
        <f t="shared" si="1"/>
        <v>70046.923049429446</v>
      </c>
      <c r="F21" s="10">
        <f t="shared" si="2"/>
        <v>97.574376584750951</v>
      </c>
      <c r="G21" s="3">
        <f t="shared" ca="1" si="6"/>
        <v>90</v>
      </c>
      <c r="H21" s="3" t="str">
        <f>IF(Invoer!C$9="","",H20+1)</f>
        <v/>
      </c>
      <c r="I21" s="7">
        <f t="shared" si="7"/>
        <v>1.7000000000000001E-2</v>
      </c>
      <c r="J21" s="10">
        <v>0</v>
      </c>
      <c r="K21" s="7">
        <f t="shared" si="8"/>
        <v>5.0000000000000001E-3</v>
      </c>
      <c r="L21" s="10">
        <f t="shared" si="3"/>
        <v>344.38015265206218</v>
      </c>
    </row>
    <row r="22" spans="1:12" x14ac:dyDescent="0.3">
      <c r="A22" s="3">
        <f t="shared" ca="1" si="4"/>
        <v>91</v>
      </c>
      <c r="B22" s="3">
        <f t="shared" si="5"/>
        <v>21</v>
      </c>
      <c r="C22" s="10">
        <f>SUM(Aflostabel!C21:D21)</f>
        <v>70046.923049429446</v>
      </c>
      <c r="D22" s="10">
        <f t="shared" si="0"/>
        <v>1190.7976918403006</v>
      </c>
      <c r="E22" s="10">
        <f t="shared" si="1"/>
        <v>71237.720741269746</v>
      </c>
      <c r="F22" s="10">
        <f t="shared" si="2"/>
        <v>99.233140986691708</v>
      </c>
      <c r="G22" s="3">
        <f t="shared" ca="1" si="6"/>
        <v>91</v>
      </c>
      <c r="H22" s="3" t="str">
        <f>IF(Invoer!C$9="","",H21+1)</f>
        <v/>
      </c>
      <c r="I22" s="7">
        <f t="shared" si="7"/>
        <v>1.7000000000000001E-2</v>
      </c>
      <c r="J22" s="10">
        <v>0</v>
      </c>
      <c r="K22" s="7">
        <f t="shared" si="8"/>
        <v>5.0000000000000001E-3</v>
      </c>
      <c r="L22" s="10">
        <f t="shared" si="3"/>
        <v>350.23461524714725</v>
      </c>
    </row>
    <row r="23" spans="1:12" x14ac:dyDescent="0.3">
      <c r="A23" s="3">
        <f t="shared" ca="1" si="4"/>
        <v>92</v>
      </c>
      <c r="B23" s="3">
        <f t="shared" si="5"/>
        <v>22</v>
      </c>
      <c r="C23" s="10">
        <f>SUM(Aflostabel!C22:D22)</f>
        <v>71237.720741269746</v>
      </c>
      <c r="D23" s="10">
        <f t="shared" si="0"/>
        <v>1211.0412526015857</v>
      </c>
      <c r="E23" s="10">
        <f t="shared" si="1"/>
        <v>72448.761993871332</v>
      </c>
      <c r="F23" s="10">
        <f t="shared" si="2"/>
        <v>100.92010438346547</v>
      </c>
      <c r="G23" s="3">
        <f t="shared" ca="1" si="6"/>
        <v>92</v>
      </c>
      <c r="H23" s="3" t="str">
        <f>IF(Invoer!C$9="","",H22+1)</f>
        <v/>
      </c>
      <c r="I23" s="7">
        <f t="shared" si="7"/>
        <v>1.7000000000000001E-2</v>
      </c>
      <c r="J23" s="10">
        <v>0</v>
      </c>
      <c r="K23" s="7">
        <f t="shared" si="8"/>
        <v>5.0000000000000001E-3</v>
      </c>
      <c r="L23" s="10">
        <f t="shared" si="3"/>
        <v>356.18860370634872</v>
      </c>
    </row>
    <row r="24" spans="1:12" x14ac:dyDescent="0.3">
      <c r="A24" s="3">
        <f t="shared" ca="1" si="4"/>
        <v>93</v>
      </c>
      <c r="B24" s="3">
        <f t="shared" si="5"/>
        <v>23</v>
      </c>
      <c r="C24" s="10">
        <f>SUM(Aflostabel!C23:D23)</f>
        <v>72448.761993871332</v>
      </c>
      <c r="D24" s="10">
        <f t="shared" si="0"/>
        <v>1231.6289538958126</v>
      </c>
      <c r="E24" s="10">
        <f t="shared" si="1"/>
        <v>73680.39094776714</v>
      </c>
      <c r="F24" s="10">
        <f t="shared" si="2"/>
        <v>102.63574615798439</v>
      </c>
      <c r="G24" s="3">
        <f t="shared" ca="1" si="6"/>
        <v>93</v>
      </c>
      <c r="H24" s="3" t="str">
        <f>IF(Invoer!C$9="","",H23+1)</f>
        <v/>
      </c>
      <c r="I24" s="7">
        <f t="shared" si="7"/>
        <v>1.7000000000000001E-2</v>
      </c>
      <c r="J24" s="10">
        <v>0</v>
      </c>
      <c r="K24" s="7">
        <f t="shared" si="8"/>
        <v>5.0000000000000001E-3</v>
      </c>
      <c r="L24" s="10">
        <f t="shared" si="3"/>
        <v>362.24380996935668</v>
      </c>
    </row>
    <row r="25" spans="1:12" x14ac:dyDescent="0.3">
      <c r="A25" s="3">
        <f t="shared" ca="1" si="4"/>
        <v>94</v>
      </c>
      <c r="B25" s="3">
        <f t="shared" si="5"/>
        <v>24</v>
      </c>
      <c r="C25" s="10">
        <f>SUM(Aflostabel!C24:D24)</f>
        <v>73680.39094776714</v>
      </c>
      <c r="D25" s="10">
        <f t="shared" si="0"/>
        <v>1252.5666461120416</v>
      </c>
      <c r="E25" s="10">
        <f t="shared" si="1"/>
        <v>74932.957593879182</v>
      </c>
      <c r="F25" s="10">
        <f t="shared" si="2"/>
        <v>104.38055384267012</v>
      </c>
      <c r="G25" s="3">
        <f t="shared" ca="1" si="6"/>
        <v>94</v>
      </c>
      <c r="H25" s="3" t="str">
        <f>IF(Invoer!C$9="","",H24+1)</f>
        <v/>
      </c>
      <c r="I25" s="7">
        <f t="shared" si="7"/>
        <v>1.7000000000000001E-2</v>
      </c>
      <c r="J25" s="10">
        <v>0</v>
      </c>
      <c r="K25" s="7">
        <f t="shared" si="8"/>
        <v>5.0000000000000001E-3</v>
      </c>
      <c r="L25" s="10">
        <f t="shared" si="3"/>
        <v>368.40195473883568</v>
      </c>
    </row>
    <row r="26" spans="1:12" x14ac:dyDescent="0.3">
      <c r="A26" s="3">
        <f t="shared" ca="1" si="4"/>
        <v>95</v>
      </c>
      <c r="B26" s="3">
        <f t="shared" si="5"/>
        <v>25</v>
      </c>
      <c r="C26" s="10">
        <f>SUM(Aflostabel!C25:D25)</f>
        <v>74932.957593879182</v>
      </c>
      <c r="D26" s="10">
        <f t="shared" si="0"/>
        <v>1273.8602790959462</v>
      </c>
      <c r="E26" s="10">
        <f t="shared" si="1"/>
        <v>76206.817872975123</v>
      </c>
      <c r="F26" s="10">
        <f t="shared" si="2"/>
        <v>106.15502325799552</v>
      </c>
      <c r="G26" s="3">
        <f t="shared" ca="1" si="6"/>
        <v>95</v>
      </c>
      <c r="H26" s="3" t="str">
        <f>IF(Invoer!C$9="","",H25+1)</f>
        <v/>
      </c>
      <c r="I26" s="7">
        <f t="shared" si="7"/>
        <v>1.7000000000000001E-2</v>
      </c>
      <c r="J26" s="10">
        <v>0</v>
      </c>
      <c r="K26" s="7">
        <f t="shared" si="8"/>
        <v>5.0000000000000001E-3</v>
      </c>
      <c r="L26" s="10">
        <f t="shared" si="3"/>
        <v>374.66478796939595</v>
      </c>
    </row>
    <row r="27" spans="1:12" x14ac:dyDescent="0.3">
      <c r="A27" s="3">
        <f t="shared" ca="1" si="4"/>
        <v>96</v>
      </c>
      <c r="B27" s="3">
        <f t="shared" si="5"/>
        <v>26</v>
      </c>
      <c r="C27" s="10">
        <f>SUM(Aflostabel!C26:D26)</f>
        <v>76206.817872975123</v>
      </c>
      <c r="D27" s="10">
        <f t="shared" si="0"/>
        <v>1295.5159038405773</v>
      </c>
      <c r="E27" s="10">
        <f t="shared" si="1"/>
        <v>77502.333776815707</v>
      </c>
      <c r="F27" s="10">
        <f t="shared" si="2"/>
        <v>107.95965865338144</v>
      </c>
      <c r="G27" s="3">
        <f t="shared" ca="1" si="6"/>
        <v>96</v>
      </c>
      <c r="H27" s="3" t="str">
        <f>IF(Invoer!C$9="","",H26+1)</f>
        <v/>
      </c>
      <c r="I27" s="7">
        <f t="shared" si="7"/>
        <v>1.7000000000000001E-2</v>
      </c>
      <c r="J27" s="10">
        <v>0</v>
      </c>
      <c r="K27" s="7">
        <f t="shared" si="8"/>
        <v>5.0000000000000001E-3</v>
      </c>
      <c r="L27" s="10">
        <f t="shared" si="3"/>
        <v>381.03408936487563</v>
      </c>
    </row>
    <row r="28" spans="1:12" x14ac:dyDescent="0.3">
      <c r="A28" s="3">
        <f t="shared" ca="1" si="4"/>
        <v>97</v>
      </c>
      <c r="B28" s="3">
        <f t="shared" si="5"/>
        <v>27</v>
      </c>
      <c r="C28" s="10">
        <f>SUM(Aflostabel!C27:D27)</f>
        <v>77502.333776815707</v>
      </c>
      <c r="D28" s="10">
        <f t="shared" si="0"/>
        <v>1317.5396742058672</v>
      </c>
      <c r="E28" s="10">
        <f t="shared" si="1"/>
        <v>78819.873451021573</v>
      </c>
      <c r="F28" s="10">
        <f t="shared" si="2"/>
        <v>109.79497285048893</v>
      </c>
      <c r="G28" s="3">
        <f t="shared" ca="1" si="6"/>
        <v>97</v>
      </c>
      <c r="H28" s="3" t="str">
        <f>IF(Invoer!C$9="","",H27+1)</f>
        <v/>
      </c>
      <c r="I28" s="7">
        <f t="shared" si="7"/>
        <v>1.7000000000000001E-2</v>
      </c>
      <c r="J28" s="10">
        <v>0</v>
      </c>
      <c r="K28" s="7">
        <f t="shared" si="8"/>
        <v>5.0000000000000001E-3</v>
      </c>
      <c r="L28" s="10">
        <f t="shared" si="3"/>
        <v>387.51166888407852</v>
      </c>
    </row>
    <row r="29" spans="1:12" x14ac:dyDescent="0.3">
      <c r="A29" s="3">
        <f t="shared" ca="1" si="4"/>
        <v>98</v>
      </c>
      <c r="B29" s="3">
        <f t="shared" si="5"/>
        <v>28</v>
      </c>
      <c r="C29" s="10">
        <f>SUM(Aflostabel!C28:D28)</f>
        <v>78819.873451021573</v>
      </c>
      <c r="D29" s="10">
        <f t="shared" si="0"/>
        <v>1339.9378486673668</v>
      </c>
      <c r="E29" s="10">
        <f t="shared" si="1"/>
        <v>80159.811299688939</v>
      </c>
      <c r="F29" s="10">
        <f t="shared" si="2"/>
        <v>111.66148738894724</v>
      </c>
      <c r="G29" s="3">
        <f t="shared" ca="1" si="6"/>
        <v>98</v>
      </c>
      <c r="H29" s="3" t="str">
        <f>IF(Invoer!C$9="","",H28+1)</f>
        <v/>
      </c>
      <c r="I29" s="7">
        <f t="shared" si="7"/>
        <v>1.7000000000000001E-2</v>
      </c>
      <c r="J29" s="10">
        <v>0</v>
      </c>
      <c r="K29" s="7">
        <f t="shared" si="8"/>
        <v>5.0000000000000001E-3</v>
      </c>
      <c r="L29" s="10">
        <f t="shared" si="3"/>
        <v>394.09936725510789</v>
      </c>
    </row>
    <row r="30" spans="1:12" x14ac:dyDescent="0.3">
      <c r="A30" s="3">
        <f t="shared" ca="1" si="4"/>
        <v>99</v>
      </c>
      <c r="B30" s="3">
        <f t="shared" si="5"/>
        <v>29</v>
      </c>
      <c r="C30" s="10">
        <f>SUM(Aflostabel!C29:D29)</f>
        <v>80159.811299688939</v>
      </c>
      <c r="D30" s="10">
        <f t="shared" si="0"/>
        <v>1362.716792094712</v>
      </c>
      <c r="E30" s="10">
        <f t="shared" si="1"/>
        <v>81522.52809178365</v>
      </c>
      <c r="F30" s="10">
        <f t="shared" si="2"/>
        <v>113.55973267455933</v>
      </c>
      <c r="G30" s="3">
        <f t="shared" ca="1" si="6"/>
        <v>99</v>
      </c>
      <c r="H30" s="3" t="str">
        <f>IF(Invoer!C$9="","",H29+1)</f>
        <v/>
      </c>
      <c r="I30" s="7">
        <f t="shared" si="7"/>
        <v>1.7000000000000001E-2</v>
      </c>
      <c r="J30" s="10">
        <v>0</v>
      </c>
      <c r="K30" s="7">
        <f t="shared" si="8"/>
        <v>5.0000000000000001E-3</v>
      </c>
      <c r="L30" s="10">
        <f t="shared" si="3"/>
        <v>400.79905649844471</v>
      </c>
    </row>
    <row r="31" spans="1:12" x14ac:dyDescent="0.3">
      <c r="A31" s="3">
        <f t="shared" ca="1" si="4"/>
        <v>100</v>
      </c>
      <c r="B31" s="3">
        <f t="shared" si="5"/>
        <v>30</v>
      </c>
      <c r="C31" s="10">
        <f>SUM(Aflostabel!C30:D30)</f>
        <v>81522.52809178365</v>
      </c>
      <c r="D31" s="10">
        <f t="shared" si="0"/>
        <v>1385.8829775603222</v>
      </c>
      <c r="E31" s="10">
        <f t="shared" si="1"/>
        <v>82908.411069343972</v>
      </c>
      <c r="F31" s="10">
        <f t="shared" si="2"/>
        <v>115.49024813002684</v>
      </c>
      <c r="G31" s="3">
        <f t="shared" ca="1" si="6"/>
        <v>100</v>
      </c>
      <c r="H31" s="3" t="str">
        <f>IF(Invoer!C$9="","",H30+1)</f>
        <v/>
      </c>
      <c r="I31" s="7">
        <f t="shared" si="7"/>
        <v>1.7000000000000001E-2</v>
      </c>
      <c r="J31" s="10">
        <v>0</v>
      </c>
      <c r="K31" s="7">
        <f t="shared" si="8"/>
        <v>5.0000000000000001E-3</v>
      </c>
      <c r="L31" s="10">
        <f t="shared" si="3"/>
        <v>407.61264045891824</v>
      </c>
    </row>
    <row r="32" spans="1:12" x14ac:dyDescent="0.3">
      <c r="A32" s="3">
        <f t="shared" ca="1" si="4"/>
        <v>101</v>
      </c>
      <c r="B32" s="3">
        <f t="shared" si="5"/>
        <v>31</v>
      </c>
      <c r="C32" s="10">
        <f>SUM(Aflostabel!C31:D31)</f>
        <v>82908.411069343972</v>
      </c>
      <c r="D32" s="10">
        <f t="shared" si="0"/>
        <v>1409.4429881788476</v>
      </c>
      <c r="E32" s="10">
        <f t="shared" si="1"/>
        <v>84317.854057522825</v>
      </c>
      <c r="F32" s="10">
        <f t="shared" si="2"/>
        <v>117.4535823482373</v>
      </c>
      <c r="G32" s="3">
        <f t="shared" ca="1" si="6"/>
        <v>101</v>
      </c>
      <c r="H32" s="3" t="str">
        <f>IF(Invoer!C$9="","",H31+1)</f>
        <v/>
      </c>
      <c r="I32" s="7">
        <f t="shared" si="7"/>
        <v>1.7000000000000001E-2</v>
      </c>
      <c r="J32" s="10">
        <v>0</v>
      </c>
      <c r="K32" s="7">
        <f t="shared" si="8"/>
        <v>5.0000000000000001E-3</v>
      </c>
      <c r="L32" s="10">
        <f t="shared" si="3"/>
        <v>414.54205534671985</v>
      </c>
    </row>
    <row r="33" spans="1:12" x14ac:dyDescent="0.3">
      <c r="A33" s="3">
        <f t="shared" ca="1" si="4"/>
        <v>102</v>
      </c>
      <c r="B33" s="3">
        <f t="shared" si="5"/>
        <v>32</v>
      </c>
      <c r="C33" s="10">
        <f>SUM(Aflostabel!C32:D32)</f>
        <v>84317.854057522825</v>
      </c>
      <c r="D33" s="10">
        <f t="shared" si="0"/>
        <v>1433.4035189778881</v>
      </c>
      <c r="E33" s="10">
        <f t="shared" si="1"/>
        <v>85751.25757650072</v>
      </c>
      <c r="F33" s="10">
        <f t="shared" si="2"/>
        <v>119.45029324815734</v>
      </c>
      <c r="G33" s="3">
        <f t="shared" ca="1" si="6"/>
        <v>102</v>
      </c>
      <c r="H33" s="3" t="str">
        <f>IF(Invoer!C$9="","",H32+1)</f>
        <v/>
      </c>
      <c r="I33" s="7">
        <f t="shared" si="7"/>
        <v>1.7000000000000001E-2</v>
      </c>
      <c r="J33" s="10">
        <v>0</v>
      </c>
      <c r="K33" s="7">
        <f t="shared" si="8"/>
        <v>5.0000000000000001E-3</v>
      </c>
      <c r="L33" s="10">
        <f t="shared" si="3"/>
        <v>421.58927028761411</v>
      </c>
    </row>
    <row r="34" spans="1:12" x14ac:dyDescent="0.3">
      <c r="A34" s="3">
        <f t="shared" ca="1" si="4"/>
        <v>103</v>
      </c>
      <c r="B34" s="3">
        <f t="shared" si="5"/>
        <v>33</v>
      </c>
      <c r="C34" s="10">
        <f>SUM(Aflostabel!C33:D33)</f>
        <v>85751.25757650072</v>
      </c>
      <c r="D34" s="10">
        <f t="shared" ref="D34:D61" si="9">C34*I34</f>
        <v>1457.7713788005124</v>
      </c>
      <c r="E34" s="10">
        <f t="shared" ref="E34:E61" si="10">C34+D34</f>
        <v>87209.028955301226</v>
      </c>
      <c r="F34" s="10">
        <f t="shared" ref="F34:F61" si="11">D34/12</f>
        <v>121.48094823337603</v>
      </c>
      <c r="G34" s="3">
        <f t="shared" ca="1" si="6"/>
        <v>103</v>
      </c>
      <c r="H34" s="3" t="str">
        <f>IF(Invoer!C$9="","",H33+1)</f>
        <v/>
      </c>
      <c r="I34" s="7">
        <f t="shared" si="7"/>
        <v>1.7000000000000001E-2</v>
      </c>
      <c r="J34" s="10">
        <v>0</v>
      </c>
      <c r="K34" s="7">
        <f t="shared" si="8"/>
        <v>5.0000000000000001E-3</v>
      </c>
      <c r="L34" s="10">
        <f t="shared" ref="L34:L61" si="12">SUM(C34*K34)</f>
        <v>428.75628788250361</v>
      </c>
    </row>
    <row r="35" spans="1:12" x14ac:dyDescent="0.3">
      <c r="A35" s="3">
        <f t="shared" ca="1" si="4"/>
        <v>104</v>
      </c>
      <c r="B35" s="3">
        <f t="shared" si="5"/>
        <v>34</v>
      </c>
      <c r="C35" s="10">
        <f>SUM(Aflostabel!C34:D34)</f>
        <v>87209.028955301226</v>
      </c>
      <c r="D35" s="10">
        <f t="shared" si="9"/>
        <v>1482.5534922401209</v>
      </c>
      <c r="E35" s="10">
        <f t="shared" si="10"/>
        <v>88691.582447541354</v>
      </c>
      <c r="F35" s="10">
        <f t="shared" si="11"/>
        <v>123.54612435334342</v>
      </c>
      <c r="G35" s="3">
        <f t="shared" ca="1" si="6"/>
        <v>104</v>
      </c>
      <c r="H35" s="3" t="str">
        <f>IF(Invoer!C$9="","",H34+1)</f>
        <v/>
      </c>
      <c r="I35" s="7">
        <f t="shared" si="7"/>
        <v>1.7000000000000001E-2</v>
      </c>
      <c r="J35" s="10">
        <v>0</v>
      </c>
      <c r="K35" s="7">
        <f t="shared" si="8"/>
        <v>5.0000000000000001E-3</v>
      </c>
      <c r="L35" s="10">
        <f t="shared" si="12"/>
        <v>436.04514477650616</v>
      </c>
    </row>
    <row r="36" spans="1:12" x14ac:dyDescent="0.3">
      <c r="A36" s="3">
        <f t="shared" ca="1" si="4"/>
        <v>105</v>
      </c>
      <c r="B36" s="3">
        <f t="shared" si="5"/>
        <v>35</v>
      </c>
      <c r="C36" s="10">
        <f>SUM(Aflostabel!C35:D35)</f>
        <v>88691.582447541354</v>
      </c>
      <c r="D36" s="10">
        <f t="shared" si="9"/>
        <v>1507.7569016082032</v>
      </c>
      <c r="E36" s="10">
        <f t="shared" si="10"/>
        <v>90199.339349149552</v>
      </c>
      <c r="F36" s="10">
        <f t="shared" si="11"/>
        <v>125.64640846735027</v>
      </c>
      <c r="G36" s="3">
        <f t="shared" ca="1" si="6"/>
        <v>105</v>
      </c>
      <c r="H36" s="3" t="str">
        <f>IF(Invoer!C$9="","",H35+1)</f>
        <v/>
      </c>
      <c r="I36" s="7">
        <f t="shared" si="7"/>
        <v>1.7000000000000001E-2</v>
      </c>
      <c r="J36" s="10">
        <v>0</v>
      </c>
      <c r="K36" s="7">
        <f t="shared" si="8"/>
        <v>5.0000000000000001E-3</v>
      </c>
      <c r="L36" s="10">
        <f t="shared" si="12"/>
        <v>443.45791223770675</v>
      </c>
    </row>
    <row r="37" spans="1:12" x14ac:dyDescent="0.3">
      <c r="A37" s="3">
        <f t="shared" ca="1" si="4"/>
        <v>106</v>
      </c>
      <c r="B37" s="3">
        <f t="shared" si="5"/>
        <v>36</v>
      </c>
      <c r="C37" s="10">
        <f>SUM(Aflostabel!C36:D36)</f>
        <v>90199.339349149552</v>
      </c>
      <c r="D37" s="10">
        <f t="shared" si="9"/>
        <v>1533.3887689355424</v>
      </c>
      <c r="E37" s="10">
        <f t="shared" si="10"/>
        <v>91732.728118085099</v>
      </c>
      <c r="F37" s="10">
        <f t="shared" si="11"/>
        <v>127.78239741129521</v>
      </c>
      <c r="G37" s="3">
        <f t="shared" ca="1" si="6"/>
        <v>106</v>
      </c>
      <c r="H37" s="3" t="str">
        <f>IF(Invoer!C$9="","",H36+1)</f>
        <v/>
      </c>
      <c r="I37" s="7">
        <f t="shared" si="7"/>
        <v>1.7000000000000001E-2</v>
      </c>
      <c r="J37" s="10">
        <v>0</v>
      </c>
      <c r="K37" s="7">
        <f t="shared" si="8"/>
        <v>5.0000000000000001E-3</v>
      </c>
      <c r="L37" s="10">
        <f t="shared" si="12"/>
        <v>450.99669674574778</v>
      </c>
    </row>
    <row r="38" spans="1:12" x14ac:dyDescent="0.3">
      <c r="A38" s="3">
        <f t="shared" ca="1" si="4"/>
        <v>107</v>
      </c>
      <c r="B38" s="3">
        <f t="shared" si="5"/>
        <v>37</v>
      </c>
      <c r="C38" s="10">
        <f>SUM(Aflostabel!C37:D37)</f>
        <v>91732.728118085099</v>
      </c>
      <c r="D38" s="10">
        <f t="shared" si="9"/>
        <v>1559.4563780074468</v>
      </c>
      <c r="E38" s="10">
        <f t="shared" si="10"/>
        <v>93292.184496092552</v>
      </c>
      <c r="F38" s="10">
        <f t="shared" si="11"/>
        <v>129.95469816728723</v>
      </c>
      <c r="G38" s="3">
        <f t="shared" ca="1" si="6"/>
        <v>107</v>
      </c>
      <c r="H38" s="3" t="str">
        <f>IF(Invoer!C$9="","",H37+1)</f>
        <v/>
      </c>
      <c r="I38" s="7">
        <f t="shared" si="7"/>
        <v>1.7000000000000001E-2</v>
      </c>
      <c r="J38" s="10">
        <v>0</v>
      </c>
      <c r="K38" s="7">
        <f t="shared" si="8"/>
        <v>5.0000000000000001E-3</v>
      </c>
      <c r="L38" s="10">
        <f t="shared" si="12"/>
        <v>458.66364059042553</v>
      </c>
    </row>
    <row r="39" spans="1:12" x14ac:dyDescent="0.3">
      <c r="A39" s="3">
        <f t="shared" ca="1" si="4"/>
        <v>108</v>
      </c>
      <c r="B39" s="3">
        <f t="shared" si="5"/>
        <v>38</v>
      </c>
      <c r="C39" s="10">
        <f>SUM(Aflostabel!C38:D38)</f>
        <v>93292.184496092552</v>
      </c>
      <c r="D39" s="10">
        <f t="shared" si="9"/>
        <v>1585.9671364335734</v>
      </c>
      <c r="E39" s="10">
        <f t="shared" si="10"/>
        <v>94878.151632526118</v>
      </c>
      <c r="F39" s="10">
        <f t="shared" si="11"/>
        <v>132.16392803613113</v>
      </c>
      <c r="G39" s="3">
        <f t="shared" ca="1" si="6"/>
        <v>108</v>
      </c>
      <c r="H39" s="3" t="str">
        <f>IF(Invoer!C$9="","",H38+1)</f>
        <v/>
      </c>
      <c r="I39" s="7">
        <f t="shared" si="7"/>
        <v>1.7000000000000001E-2</v>
      </c>
      <c r="J39" s="10">
        <v>0</v>
      </c>
      <c r="K39" s="7">
        <f t="shared" si="8"/>
        <v>5.0000000000000001E-3</v>
      </c>
      <c r="L39" s="10">
        <f t="shared" si="12"/>
        <v>466.46092248046278</v>
      </c>
    </row>
    <row r="40" spans="1:12" x14ac:dyDescent="0.3">
      <c r="A40" s="3">
        <f t="shared" ca="1" si="4"/>
        <v>109</v>
      </c>
      <c r="B40" s="3">
        <f t="shared" si="5"/>
        <v>39</v>
      </c>
      <c r="C40" s="10">
        <f>SUM(Aflostabel!C39:D39)</f>
        <v>94878.151632526118</v>
      </c>
      <c r="D40" s="10">
        <f t="shared" si="9"/>
        <v>1612.9285777529442</v>
      </c>
      <c r="E40" s="10">
        <f t="shared" si="10"/>
        <v>96491.080210279062</v>
      </c>
      <c r="F40" s="10">
        <f t="shared" si="11"/>
        <v>134.41071481274534</v>
      </c>
      <c r="G40" s="3">
        <f t="shared" ca="1" si="6"/>
        <v>109</v>
      </c>
      <c r="H40" s="3" t="str">
        <f>IF(Invoer!C$9="","",H39+1)</f>
        <v/>
      </c>
      <c r="I40" s="7">
        <f t="shared" si="7"/>
        <v>1.7000000000000001E-2</v>
      </c>
      <c r="J40" s="10">
        <v>0</v>
      </c>
      <c r="K40" s="7">
        <f t="shared" si="8"/>
        <v>5.0000000000000001E-3</v>
      </c>
      <c r="L40" s="10">
        <f t="shared" si="12"/>
        <v>474.39075816263062</v>
      </c>
    </row>
    <row r="41" spans="1:12" x14ac:dyDescent="0.3">
      <c r="A41" s="3">
        <f t="shared" ca="1" si="4"/>
        <v>110</v>
      </c>
      <c r="B41" s="3">
        <f t="shared" si="5"/>
        <v>40</v>
      </c>
      <c r="C41" s="10">
        <f>SUM(Aflostabel!C40:D40)</f>
        <v>96491.080210279062</v>
      </c>
      <c r="D41" s="10">
        <f t="shared" si="9"/>
        <v>1640.3483635747441</v>
      </c>
      <c r="E41" s="10">
        <f t="shared" si="10"/>
        <v>98131.428573853802</v>
      </c>
      <c r="F41" s="10">
        <f t="shared" si="11"/>
        <v>136.69569696456202</v>
      </c>
      <c r="G41" s="3">
        <f t="shared" ca="1" si="6"/>
        <v>110</v>
      </c>
      <c r="H41" s="3" t="str">
        <f>IF(Invoer!C$9="","",H40+1)</f>
        <v/>
      </c>
      <c r="I41" s="7">
        <f t="shared" si="7"/>
        <v>1.7000000000000001E-2</v>
      </c>
      <c r="J41" s="10">
        <v>0</v>
      </c>
      <c r="K41" s="7">
        <f t="shared" si="8"/>
        <v>5.0000000000000001E-3</v>
      </c>
      <c r="L41" s="10">
        <f t="shared" si="12"/>
        <v>482.45540105139531</v>
      </c>
    </row>
    <row r="42" spans="1:12" hidden="1" outlineLevel="1" x14ac:dyDescent="0.3">
      <c r="A42" s="3">
        <f t="shared" ca="1" si="4"/>
        <v>111</v>
      </c>
      <c r="B42" s="3">
        <f t="shared" si="5"/>
        <v>41</v>
      </c>
      <c r="C42" s="10">
        <f>SUM(Aflostabel!C41:D41)</f>
        <v>98131.428573853802</v>
      </c>
      <c r="D42" s="10">
        <f t="shared" si="9"/>
        <v>1668.2342857555147</v>
      </c>
      <c r="E42" s="10">
        <f t="shared" si="10"/>
        <v>99799.662859609321</v>
      </c>
      <c r="F42" s="10">
        <f t="shared" si="11"/>
        <v>139.01952381295956</v>
      </c>
      <c r="G42" s="3">
        <f t="shared" ca="1" si="6"/>
        <v>111</v>
      </c>
      <c r="H42" s="3" t="str">
        <f>IF(Invoer!C$9="","",H41+1)</f>
        <v/>
      </c>
      <c r="I42" s="7">
        <f t="shared" si="7"/>
        <v>1.7000000000000001E-2</v>
      </c>
      <c r="J42" s="10">
        <v>0</v>
      </c>
      <c r="K42" s="7">
        <f t="shared" si="8"/>
        <v>5.0000000000000001E-3</v>
      </c>
      <c r="L42" s="10">
        <f t="shared" si="12"/>
        <v>490.65714286926902</v>
      </c>
    </row>
    <row r="43" spans="1:12" ht="15" hidden="1" customHeight="1" outlineLevel="1" x14ac:dyDescent="0.3">
      <c r="A43" s="3">
        <f t="shared" ca="1" si="4"/>
        <v>112</v>
      </c>
      <c r="B43" s="3">
        <f t="shared" si="5"/>
        <v>42</v>
      </c>
      <c r="C43" s="10">
        <f>SUM(Aflostabel!C42:D42)</f>
        <v>99799.662859609321</v>
      </c>
      <c r="D43" s="10">
        <f t="shared" si="9"/>
        <v>1696.5942686133585</v>
      </c>
      <c r="E43" s="10">
        <f t="shared" si="10"/>
        <v>101496.25712822269</v>
      </c>
      <c r="F43" s="10">
        <f t="shared" si="11"/>
        <v>141.38285571777988</v>
      </c>
      <c r="G43" s="3">
        <f t="shared" ca="1" si="6"/>
        <v>112</v>
      </c>
      <c r="H43" s="3" t="str">
        <f>IF(Invoer!C$9="","",H42+1)</f>
        <v/>
      </c>
      <c r="I43" s="7">
        <f t="shared" si="7"/>
        <v>1.7000000000000001E-2</v>
      </c>
      <c r="J43" s="10">
        <v>0</v>
      </c>
      <c r="K43" s="7">
        <f t="shared" si="8"/>
        <v>5.0000000000000001E-3</v>
      </c>
      <c r="L43" s="10">
        <f t="shared" si="12"/>
        <v>498.99831429804664</v>
      </c>
    </row>
    <row r="44" spans="1:12" ht="15" hidden="1" customHeight="1" outlineLevel="1" x14ac:dyDescent="0.3">
      <c r="A44" s="3">
        <f t="shared" ca="1" si="4"/>
        <v>113</v>
      </c>
      <c r="B44" s="3">
        <f t="shared" si="5"/>
        <v>43</v>
      </c>
      <c r="C44" s="10">
        <f>SUM(Aflostabel!C43:D43)</f>
        <v>101496.25712822269</v>
      </c>
      <c r="D44" s="10">
        <f t="shared" si="9"/>
        <v>1725.4363711797857</v>
      </c>
      <c r="E44" s="10">
        <f t="shared" si="10"/>
        <v>103221.69349940248</v>
      </c>
      <c r="F44" s="10">
        <f t="shared" si="11"/>
        <v>143.78636426498215</v>
      </c>
      <c r="G44" s="3">
        <f t="shared" ca="1" si="6"/>
        <v>113</v>
      </c>
      <c r="H44" s="3" t="str">
        <f>IF(Invoer!C$9="","",H43+1)</f>
        <v/>
      </c>
      <c r="I44" s="7">
        <f t="shared" si="7"/>
        <v>1.7000000000000001E-2</v>
      </c>
      <c r="J44" s="10">
        <v>0</v>
      </c>
      <c r="K44" s="7">
        <f t="shared" si="8"/>
        <v>5.0000000000000001E-3</v>
      </c>
      <c r="L44" s="10">
        <f t="shared" si="12"/>
        <v>507.48128564111346</v>
      </c>
    </row>
    <row r="45" spans="1:12" ht="15" hidden="1" customHeight="1" outlineLevel="1" x14ac:dyDescent="0.3">
      <c r="A45" s="3">
        <f t="shared" ca="1" si="4"/>
        <v>114</v>
      </c>
      <c r="B45" s="3">
        <f t="shared" si="5"/>
        <v>44</v>
      </c>
      <c r="C45" s="10">
        <f>SUM(Aflostabel!C44:D44)</f>
        <v>103221.69349940248</v>
      </c>
      <c r="D45" s="10">
        <f t="shared" si="9"/>
        <v>1754.7687894898422</v>
      </c>
      <c r="E45" s="10">
        <f t="shared" si="10"/>
        <v>104976.46228889232</v>
      </c>
      <c r="F45" s="10">
        <f t="shared" si="11"/>
        <v>146.23073245748685</v>
      </c>
      <c r="G45" s="3">
        <f t="shared" ca="1" si="6"/>
        <v>114</v>
      </c>
      <c r="H45" s="3" t="str">
        <f>IF(Invoer!C$9="","",H44+1)</f>
        <v/>
      </c>
      <c r="I45" s="7">
        <f t="shared" si="7"/>
        <v>1.7000000000000001E-2</v>
      </c>
      <c r="J45" s="10">
        <v>0</v>
      </c>
      <c r="K45" s="7">
        <f t="shared" si="8"/>
        <v>5.0000000000000001E-3</v>
      </c>
      <c r="L45" s="10">
        <f t="shared" si="12"/>
        <v>516.10846749701238</v>
      </c>
    </row>
    <row r="46" spans="1:12" ht="15" hidden="1" customHeight="1" outlineLevel="1" x14ac:dyDescent="0.3">
      <c r="A46" s="3">
        <f t="shared" ca="1" si="4"/>
        <v>115</v>
      </c>
      <c r="B46" s="3">
        <f t="shared" si="5"/>
        <v>45</v>
      </c>
      <c r="C46" s="10">
        <f>SUM(Aflostabel!C45:D45)</f>
        <v>104976.46228889232</v>
      </c>
      <c r="D46" s="10">
        <f t="shared" si="9"/>
        <v>1784.5998589111696</v>
      </c>
      <c r="E46" s="10">
        <f t="shared" si="10"/>
        <v>106761.06214780349</v>
      </c>
      <c r="F46" s="10">
        <f t="shared" si="11"/>
        <v>148.71665490926412</v>
      </c>
      <c r="G46" s="3">
        <f t="shared" ca="1" si="6"/>
        <v>115</v>
      </c>
      <c r="H46" s="3" t="str">
        <f>IF(Invoer!C$9="","",H45+1)</f>
        <v/>
      </c>
      <c r="I46" s="7">
        <f t="shared" si="7"/>
        <v>1.7000000000000001E-2</v>
      </c>
      <c r="J46" s="10">
        <v>0</v>
      </c>
      <c r="K46" s="7">
        <f t="shared" si="8"/>
        <v>5.0000000000000001E-3</v>
      </c>
      <c r="L46" s="10">
        <f t="shared" si="12"/>
        <v>524.88231144446161</v>
      </c>
    </row>
    <row r="47" spans="1:12" ht="15" hidden="1" customHeight="1" outlineLevel="1" x14ac:dyDescent="0.3">
      <c r="A47" s="3">
        <f t="shared" ca="1" si="4"/>
        <v>116</v>
      </c>
      <c r="B47" s="3">
        <f t="shared" si="5"/>
        <v>46</v>
      </c>
      <c r="C47" s="10">
        <f>SUM(Aflostabel!C46:D46)</f>
        <v>106761.06214780349</v>
      </c>
      <c r="D47" s="10">
        <f t="shared" si="9"/>
        <v>1814.9380565126594</v>
      </c>
      <c r="E47" s="10">
        <f t="shared" si="10"/>
        <v>108576.00020431615</v>
      </c>
      <c r="F47" s="10">
        <f t="shared" si="11"/>
        <v>151.24483804272163</v>
      </c>
      <c r="G47" s="3">
        <f t="shared" ca="1" si="6"/>
        <v>116</v>
      </c>
      <c r="H47" s="3" t="str">
        <f>IF(Invoer!C$9="","",H46+1)</f>
        <v/>
      </c>
      <c r="I47" s="7">
        <f t="shared" si="7"/>
        <v>1.7000000000000001E-2</v>
      </c>
      <c r="J47" s="10">
        <v>0</v>
      </c>
      <c r="K47" s="7">
        <f t="shared" si="8"/>
        <v>5.0000000000000001E-3</v>
      </c>
      <c r="L47" s="10">
        <f t="shared" si="12"/>
        <v>533.8053107390175</v>
      </c>
    </row>
    <row r="48" spans="1:12" ht="15" hidden="1" customHeight="1" outlineLevel="1" x14ac:dyDescent="0.3">
      <c r="A48" s="3">
        <f t="shared" ca="1" si="4"/>
        <v>117</v>
      </c>
      <c r="B48" s="3">
        <f t="shared" si="5"/>
        <v>47</v>
      </c>
      <c r="C48" s="10">
        <f>SUM(Aflostabel!C47:D47)</f>
        <v>108576.00020431615</v>
      </c>
      <c r="D48" s="10">
        <f t="shared" si="9"/>
        <v>1845.7920034733747</v>
      </c>
      <c r="E48" s="10">
        <f t="shared" si="10"/>
        <v>110421.79220778952</v>
      </c>
      <c r="F48" s="10">
        <f t="shared" si="11"/>
        <v>153.81600028944789</v>
      </c>
      <c r="G48" s="3">
        <f t="shared" ca="1" si="6"/>
        <v>117</v>
      </c>
      <c r="H48" s="3" t="str">
        <f>IF(Invoer!C$9="","",H47+1)</f>
        <v/>
      </c>
      <c r="I48" s="7">
        <f t="shared" si="7"/>
        <v>1.7000000000000001E-2</v>
      </c>
      <c r="J48" s="10">
        <v>0</v>
      </c>
      <c r="K48" s="7">
        <f t="shared" si="8"/>
        <v>5.0000000000000001E-3</v>
      </c>
      <c r="L48" s="10">
        <f t="shared" si="12"/>
        <v>542.88000102158071</v>
      </c>
    </row>
    <row r="49" spans="1:12" ht="15" hidden="1" customHeight="1" outlineLevel="1" x14ac:dyDescent="0.3">
      <c r="A49" s="3">
        <f t="shared" ca="1" si="4"/>
        <v>118</v>
      </c>
      <c r="B49" s="3">
        <f t="shared" si="5"/>
        <v>48</v>
      </c>
      <c r="C49" s="10">
        <f>SUM(Aflostabel!C48:D48)</f>
        <v>110421.79220778952</v>
      </c>
      <c r="D49" s="10">
        <f t="shared" si="9"/>
        <v>1877.170467532422</v>
      </c>
      <c r="E49" s="10">
        <f t="shared" si="10"/>
        <v>112298.96267532195</v>
      </c>
      <c r="F49" s="10">
        <f t="shared" si="11"/>
        <v>156.4308722943685</v>
      </c>
      <c r="G49" s="3">
        <f t="shared" ca="1" si="6"/>
        <v>118</v>
      </c>
      <c r="H49" s="3" t="str">
        <f>IF(Invoer!C$9="","",H48+1)</f>
        <v/>
      </c>
      <c r="I49" s="7">
        <f t="shared" si="7"/>
        <v>1.7000000000000001E-2</v>
      </c>
      <c r="J49" s="10">
        <v>0</v>
      </c>
      <c r="K49" s="7">
        <f t="shared" si="8"/>
        <v>5.0000000000000001E-3</v>
      </c>
      <c r="L49" s="10">
        <f t="shared" si="12"/>
        <v>552.10896103894765</v>
      </c>
    </row>
    <row r="50" spans="1:12" ht="15" hidden="1" customHeight="1" outlineLevel="1" x14ac:dyDescent="0.3">
      <c r="A50" s="3">
        <f t="shared" ca="1" si="4"/>
        <v>119</v>
      </c>
      <c r="B50" s="3">
        <f t="shared" si="5"/>
        <v>49</v>
      </c>
      <c r="C50" s="10">
        <f>SUM(Aflostabel!C49:D49)</f>
        <v>112298.96267532195</v>
      </c>
      <c r="D50" s="10">
        <f t="shared" si="9"/>
        <v>1909.0823654804733</v>
      </c>
      <c r="E50" s="10">
        <f t="shared" si="10"/>
        <v>114208.04504080242</v>
      </c>
      <c r="F50" s="10">
        <f t="shared" si="11"/>
        <v>159.09019712337277</v>
      </c>
      <c r="G50" s="3">
        <f t="shared" ca="1" si="6"/>
        <v>119</v>
      </c>
      <c r="H50" s="3" t="str">
        <f>IF(Invoer!C$9="","",H49+1)</f>
        <v/>
      </c>
      <c r="I50" s="7">
        <f t="shared" si="7"/>
        <v>1.7000000000000001E-2</v>
      </c>
      <c r="J50" s="10">
        <v>0</v>
      </c>
      <c r="K50" s="7">
        <f t="shared" si="8"/>
        <v>5.0000000000000001E-3</v>
      </c>
      <c r="L50" s="10">
        <f t="shared" si="12"/>
        <v>561.49481337660973</v>
      </c>
    </row>
    <row r="51" spans="1:12" ht="15" hidden="1" customHeight="1" outlineLevel="1" x14ac:dyDescent="0.3">
      <c r="A51" s="3">
        <f t="shared" ca="1" si="4"/>
        <v>120</v>
      </c>
      <c r="B51" s="3">
        <f t="shared" si="5"/>
        <v>50</v>
      </c>
      <c r="C51" s="10">
        <f>SUM(Aflostabel!C50:D50)</f>
        <v>114208.04504080242</v>
      </c>
      <c r="D51" s="10">
        <f t="shared" si="9"/>
        <v>1941.5367656936412</v>
      </c>
      <c r="E51" s="10">
        <f t="shared" si="10"/>
        <v>116149.58180649606</v>
      </c>
      <c r="F51" s="10">
        <f t="shared" si="11"/>
        <v>161.7947304744701</v>
      </c>
      <c r="G51" s="3">
        <f t="shared" ca="1" si="6"/>
        <v>120</v>
      </c>
      <c r="H51" s="3" t="str">
        <f>IF(Invoer!C$9="","",H50+1)</f>
        <v/>
      </c>
      <c r="I51" s="7">
        <f t="shared" si="7"/>
        <v>1.7000000000000001E-2</v>
      </c>
      <c r="J51" s="10">
        <v>0</v>
      </c>
      <c r="K51" s="7">
        <f t="shared" si="8"/>
        <v>5.0000000000000001E-3</v>
      </c>
      <c r="L51" s="10">
        <f t="shared" si="12"/>
        <v>571.04022520401213</v>
      </c>
    </row>
    <row r="52" spans="1:12" ht="15" hidden="1" customHeight="1" outlineLevel="1" x14ac:dyDescent="0.3">
      <c r="A52" s="3">
        <f t="shared" ca="1" si="4"/>
        <v>121</v>
      </c>
      <c r="B52" s="3">
        <f t="shared" si="5"/>
        <v>51</v>
      </c>
      <c r="C52" s="10">
        <f>SUM(Aflostabel!C51:D51)</f>
        <v>116149.58180649606</v>
      </c>
      <c r="D52" s="10">
        <f t="shared" si="9"/>
        <v>1974.5428907104333</v>
      </c>
      <c r="E52" s="10">
        <f t="shared" si="10"/>
        <v>118124.1246972065</v>
      </c>
      <c r="F52" s="10">
        <f t="shared" si="11"/>
        <v>164.5452408925361</v>
      </c>
      <c r="G52" s="3">
        <f t="shared" ca="1" si="6"/>
        <v>121</v>
      </c>
      <c r="H52" s="3" t="str">
        <f>IF(Invoer!C$9="","",H51+1)</f>
        <v/>
      </c>
      <c r="I52" s="7">
        <f t="shared" si="7"/>
        <v>1.7000000000000001E-2</v>
      </c>
      <c r="J52" s="10">
        <v>0</v>
      </c>
      <c r="K52" s="7">
        <f t="shared" si="8"/>
        <v>5.0000000000000001E-3</v>
      </c>
      <c r="L52" s="10">
        <f t="shared" si="12"/>
        <v>580.74790903248038</v>
      </c>
    </row>
    <row r="53" spans="1:12" ht="15" hidden="1" customHeight="1" outlineLevel="1" x14ac:dyDescent="0.3">
      <c r="A53" s="3">
        <f t="shared" ca="1" si="4"/>
        <v>122</v>
      </c>
      <c r="B53" s="3">
        <f t="shared" si="5"/>
        <v>52</v>
      </c>
      <c r="C53" s="10">
        <f>SUM(Aflostabel!C52:D52)</f>
        <v>118124.1246972065</v>
      </c>
      <c r="D53" s="10">
        <f t="shared" si="9"/>
        <v>2008.1101198525107</v>
      </c>
      <c r="E53" s="10">
        <f t="shared" si="10"/>
        <v>120132.23481705901</v>
      </c>
      <c r="F53" s="10">
        <f t="shared" si="11"/>
        <v>167.34250998770924</v>
      </c>
      <c r="G53" s="3">
        <f t="shared" ca="1" si="6"/>
        <v>122</v>
      </c>
      <c r="H53" s="3" t="str">
        <f>IF(Invoer!C$9="","",H52+1)</f>
        <v/>
      </c>
      <c r="I53" s="7">
        <f t="shared" si="7"/>
        <v>1.7000000000000001E-2</v>
      </c>
      <c r="J53" s="10">
        <v>0</v>
      </c>
      <c r="K53" s="7">
        <f t="shared" si="8"/>
        <v>5.0000000000000001E-3</v>
      </c>
      <c r="L53" s="10">
        <f t="shared" si="12"/>
        <v>590.62062348603251</v>
      </c>
    </row>
    <row r="54" spans="1:12" ht="15" hidden="1" customHeight="1" outlineLevel="1" x14ac:dyDescent="0.3">
      <c r="A54" s="3">
        <f t="shared" ca="1" si="4"/>
        <v>123</v>
      </c>
      <c r="B54" s="3">
        <f t="shared" si="5"/>
        <v>53</v>
      </c>
      <c r="C54" s="10">
        <f>SUM(Aflostabel!C53:D53)</f>
        <v>120132.23481705901</v>
      </c>
      <c r="D54" s="10">
        <f t="shared" si="9"/>
        <v>2042.2479918900033</v>
      </c>
      <c r="E54" s="10">
        <f t="shared" si="10"/>
        <v>122174.48280894902</v>
      </c>
      <c r="F54" s="10">
        <f t="shared" si="11"/>
        <v>170.18733265750026</v>
      </c>
      <c r="G54" s="3">
        <f t="shared" ca="1" si="6"/>
        <v>123</v>
      </c>
      <c r="H54" s="3" t="str">
        <f>IF(Invoer!C$9="","",H53+1)</f>
        <v/>
      </c>
      <c r="I54" s="7">
        <f t="shared" si="7"/>
        <v>1.7000000000000001E-2</v>
      </c>
      <c r="J54" s="10">
        <v>0</v>
      </c>
      <c r="K54" s="7">
        <f t="shared" si="8"/>
        <v>5.0000000000000001E-3</v>
      </c>
      <c r="L54" s="10">
        <f t="shared" si="12"/>
        <v>600.6611740852951</v>
      </c>
    </row>
    <row r="55" spans="1:12" ht="15" hidden="1" customHeight="1" outlineLevel="1" x14ac:dyDescent="0.3">
      <c r="A55" s="3">
        <f t="shared" ca="1" si="4"/>
        <v>124</v>
      </c>
      <c r="B55" s="3">
        <f t="shared" si="5"/>
        <v>54</v>
      </c>
      <c r="C55" s="10">
        <f>SUM(Aflostabel!C54:D54)</f>
        <v>122174.48280894902</v>
      </c>
      <c r="D55" s="10">
        <f t="shared" si="9"/>
        <v>2076.9662077521334</v>
      </c>
      <c r="E55" s="10">
        <f t="shared" si="10"/>
        <v>124251.44901670115</v>
      </c>
      <c r="F55" s="10">
        <f t="shared" si="11"/>
        <v>173.08051731267778</v>
      </c>
      <c r="G55" s="3">
        <f t="shared" ca="1" si="6"/>
        <v>124</v>
      </c>
      <c r="H55" s="3" t="str">
        <f>IF(Invoer!C$9="","",H54+1)</f>
        <v/>
      </c>
      <c r="I55" s="7">
        <f t="shared" si="7"/>
        <v>1.7000000000000001E-2</v>
      </c>
      <c r="J55" s="10">
        <v>0</v>
      </c>
      <c r="K55" s="7">
        <f t="shared" si="8"/>
        <v>5.0000000000000001E-3</v>
      </c>
      <c r="L55" s="10">
        <f t="shared" si="12"/>
        <v>610.87241404474514</v>
      </c>
    </row>
    <row r="56" spans="1:12" ht="15" hidden="1" customHeight="1" outlineLevel="1" x14ac:dyDescent="0.3">
      <c r="A56" s="3">
        <f t="shared" ca="1" si="4"/>
        <v>125</v>
      </c>
      <c r="B56" s="3">
        <f t="shared" si="5"/>
        <v>55</v>
      </c>
      <c r="C56" s="10">
        <f>SUM(Aflostabel!C55:D55)</f>
        <v>124251.44901670115</v>
      </c>
      <c r="D56" s="10">
        <f t="shared" si="9"/>
        <v>2112.2746332839197</v>
      </c>
      <c r="E56" s="10">
        <f t="shared" si="10"/>
        <v>126363.72364998507</v>
      </c>
      <c r="F56" s="10">
        <f t="shared" si="11"/>
        <v>176.0228861069933</v>
      </c>
      <c r="G56" s="3">
        <f t="shared" ca="1" si="6"/>
        <v>125</v>
      </c>
      <c r="H56" s="3" t="str">
        <f>IF(Invoer!C$9="","",H55+1)</f>
        <v/>
      </c>
      <c r="I56" s="7">
        <f t="shared" si="7"/>
        <v>1.7000000000000001E-2</v>
      </c>
      <c r="J56" s="10">
        <v>0</v>
      </c>
      <c r="K56" s="7">
        <f t="shared" si="8"/>
        <v>5.0000000000000001E-3</v>
      </c>
      <c r="L56" s="10">
        <f t="shared" si="12"/>
        <v>621.25724508350584</v>
      </c>
    </row>
    <row r="57" spans="1:12" ht="15" hidden="1" customHeight="1" outlineLevel="1" x14ac:dyDescent="0.3">
      <c r="A57" s="3">
        <f t="shared" ca="1" si="4"/>
        <v>126</v>
      </c>
      <c r="B57" s="3">
        <f t="shared" si="5"/>
        <v>56</v>
      </c>
      <c r="C57" s="10">
        <f>SUM(Aflostabel!C56:D56)</f>
        <v>126363.72364998507</v>
      </c>
      <c r="D57" s="10">
        <f t="shared" si="9"/>
        <v>2148.1833020497465</v>
      </c>
      <c r="E57" s="10">
        <f t="shared" si="10"/>
        <v>128511.90695203481</v>
      </c>
      <c r="F57" s="10">
        <f t="shared" si="11"/>
        <v>179.0152751708122</v>
      </c>
      <c r="G57" s="3">
        <f t="shared" ca="1" si="6"/>
        <v>126</v>
      </c>
      <c r="H57" s="3" t="str">
        <f>IF(Invoer!C$9="","",H56+1)</f>
        <v/>
      </c>
      <c r="I57" s="7">
        <f t="shared" si="7"/>
        <v>1.7000000000000001E-2</v>
      </c>
      <c r="J57" s="10">
        <v>0</v>
      </c>
      <c r="K57" s="7">
        <f t="shared" si="8"/>
        <v>5.0000000000000001E-3</v>
      </c>
      <c r="L57" s="10">
        <f t="shared" si="12"/>
        <v>631.81861824992541</v>
      </c>
    </row>
    <row r="58" spans="1:12" ht="15" hidden="1" customHeight="1" outlineLevel="1" x14ac:dyDescent="0.3">
      <c r="A58" s="3">
        <f t="shared" ca="1" si="4"/>
        <v>127</v>
      </c>
      <c r="B58" s="3">
        <f t="shared" si="5"/>
        <v>57</v>
      </c>
      <c r="C58" s="10">
        <f>SUM(Aflostabel!C57:D57)</f>
        <v>128511.90695203481</v>
      </c>
      <c r="D58" s="10">
        <f t="shared" si="9"/>
        <v>2184.7024181845918</v>
      </c>
      <c r="E58" s="10">
        <f t="shared" si="10"/>
        <v>130696.6093702194</v>
      </c>
      <c r="F58" s="10">
        <f t="shared" si="11"/>
        <v>182.05853484871599</v>
      </c>
      <c r="G58" s="3">
        <f t="shared" ca="1" si="6"/>
        <v>127</v>
      </c>
      <c r="H58" s="3" t="str">
        <f>IF(Invoer!C$9="","",H57+1)</f>
        <v/>
      </c>
      <c r="I58" s="7">
        <f t="shared" si="7"/>
        <v>1.7000000000000001E-2</v>
      </c>
      <c r="J58" s="10">
        <v>0</v>
      </c>
      <c r="K58" s="7">
        <f t="shared" si="8"/>
        <v>5.0000000000000001E-3</v>
      </c>
      <c r="L58" s="10">
        <f t="shared" si="12"/>
        <v>642.55953476017407</v>
      </c>
    </row>
    <row r="59" spans="1:12" ht="15" hidden="1" customHeight="1" outlineLevel="1" x14ac:dyDescent="0.3">
      <c r="A59" s="3">
        <f t="shared" ca="1" si="4"/>
        <v>128</v>
      </c>
      <c r="B59" s="3">
        <f t="shared" si="5"/>
        <v>58</v>
      </c>
      <c r="C59" s="10">
        <f>SUM(Aflostabel!C58:D58)</f>
        <v>130696.6093702194</v>
      </c>
      <c r="D59" s="10">
        <f t="shared" si="9"/>
        <v>2221.8423592937302</v>
      </c>
      <c r="E59" s="10">
        <f t="shared" si="10"/>
        <v>132918.45172951312</v>
      </c>
      <c r="F59" s="10">
        <f t="shared" si="11"/>
        <v>185.15352994114417</v>
      </c>
      <c r="G59" s="3">
        <f t="shared" ca="1" si="6"/>
        <v>128</v>
      </c>
      <c r="H59" s="3" t="str">
        <f>IF(Invoer!C$9="","",H58+1)</f>
        <v/>
      </c>
      <c r="I59" s="7">
        <f t="shared" si="7"/>
        <v>1.7000000000000001E-2</v>
      </c>
      <c r="J59" s="10">
        <v>0</v>
      </c>
      <c r="K59" s="7">
        <f t="shared" si="8"/>
        <v>5.0000000000000001E-3</v>
      </c>
      <c r="L59" s="10">
        <f t="shared" si="12"/>
        <v>653.48304685109701</v>
      </c>
    </row>
    <row r="60" spans="1:12" ht="15" hidden="1" customHeight="1" outlineLevel="1" x14ac:dyDescent="0.3">
      <c r="A60" s="3">
        <f t="shared" ca="1" si="4"/>
        <v>129</v>
      </c>
      <c r="B60" s="3">
        <f t="shared" si="5"/>
        <v>59</v>
      </c>
      <c r="C60" s="10">
        <f>SUM(Aflostabel!C59:D59)</f>
        <v>132918.45172951312</v>
      </c>
      <c r="D60" s="10">
        <f t="shared" si="9"/>
        <v>2259.6136794017234</v>
      </c>
      <c r="E60" s="10">
        <f t="shared" si="10"/>
        <v>135178.06540891484</v>
      </c>
      <c r="F60" s="10">
        <f t="shared" si="11"/>
        <v>188.30113995014361</v>
      </c>
      <c r="G60" s="3">
        <f t="shared" ca="1" si="6"/>
        <v>129</v>
      </c>
      <c r="H60" s="3" t="str">
        <f>IF(Invoer!C$9="","",H59+1)</f>
        <v/>
      </c>
      <c r="I60" s="7">
        <f t="shared" si="7"/>
        <v>1.7000000000000001E-2</v>
      </c>
      <c r="J60" s="10">
        <v>0</v>
      </c>
      <c r="K60" s="7">
        <f t="shared" si="8"/>
        <v>5.0000000000000001E-3</v>
      </c>
      <c r="L60" s="10">
        <f t="shared" si="12"/>
        <v>664.59225864756559</v>
      </c>
    </row>
    <row r="61" spans="1:12" ht="15" hidden="1" customHeight="1" outlineLevel="1" x14ac:dyDescent="0.3">
      <c r="A61" s="3">
        <f t="shared" ca="1" si="4"/>
        <v>130</v>
      </c>
      <c r="B61" s="3">
        <f t="shared" si="5"/>
        <v>60</v>
      </c>
      <c r="C61" s="10">
        <f>SUM(Aflostabel!C60:D60)</f>
        <v>135178.06540891484</v>
      </c>
      <c r="D61" s="10">
        <f t="shared" si="9"/>
        <v>2298.0271119515523</v>
      </c>
      <c r="E61" s="10">
        <f t="shared" si="10"/>
        <v>137476.0925208664</v>
      </c>
      <c r="F61" s="10">
        <f t="shared" si="11"/>
        <v>191.50225932929604</v>
      </c>
      <c r="G61" s="3">
        <f t="shared" ca="1" si="6"/>
        <v>130</v>
      </c>
      <c r="H61" s="3" t="str">
        <f>IF(Invoer!C$9="","",H60+1)</f>
        <v/>
      </c>
      <c r="I61" s="7">
        <f t="shared" si="7"/>
        <v>1.7000000000000001E-2</v>
      </c>
      <c r="J61" s="10">
        <v>0</v>
      </c>
      <c r="K61" s="7">
        <f t="shared" si="8"/>
        <v>5.0000000000000001E-3</v>
      </c>
      <c r="L61" s="10">
        <f t="shared" si="12"/>
        <v>675.89032704457429</v>
      </c>
    </row>
    <row r="62" spans="1:12" collapsed="1" x14ac:dyDescent="0.3"/>
  </sheetData>
  <sheetProtection algorithmName="SHA-512" hashValue="v+RebdckVOrSzuAaZwKnVLVPkT3en2wUDtBr9HvjMcsp4ZvIBBc2PVj8bsW+Zeg50539AP2SlYfqwHRz9Dk9AA==" saltValue="uQpd/yVehztU7LcmYVHypA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24"/>
  <sheetViews>
    <sheetView workbookViewId="0">
      <selection activeCell="E41" sqref="E41"/>
    </sheetView>
  </sheetViews>
  <sheetFormatPr defaultColWidth="9.109375" defaultRowHeight="14.4" x14ac:dyDescent="0.3"/>
  <cols>
    <col min="1" max="1" width="2.88671875" style="1" customWidth="1"/>
    <col min="2" max="2" width="52.6640625" style="1" bestFit="1" customWidth="1"/>
    <col min="3" max="3" width="7" style="1" bestFit="1" customWidth="1"/>
    <col min="4" max="4" width="6.88671875" style="1" bestFit="1" customWidth="1"/>
    <col min="5" max="16384" width="9.109375" style="1"/>
  </cols>
  <sheetData>
    <row r="2" spans="2:4" x14ac:dyDescent="0.3">
      <c r="B2" s="3" t="s">
        <v>8</v>
      </c>
      <c r="C2" s="7">
        <v>5.0000000000000001E-3</v>
      </c>
    </row>
    <row r="3" spans="2:4" x14ac:dyDescent="0.3">
      <c r="B3" s="3" t="s">
        <v>17</v>
      </c>
      <c r="C3" s="8">
        <v>0.8</v>
      </c>
    </row>
    <row r="5" spans="2:4" x14ac:dyDescent="0.3">
      <c r="B5" s="3" t="s">
        <v>9</v>
      </c>
      <c r="C5" s="3">
        <v>67</v>
      </c>
    </row>
    <row r="6" spans="2:4" x14ac:dyDescent="0.3">
      <c r="B6" s="3" t="s">
        <v>34</v>
      </c>
      <c r="C6" s="3">
        <v>58</v>
      </c>
    </row>
    <row r="8" spans="2:4" x14ac:dyDescent="0.3">
      <c r="B8" s="3" t="s">
        <v>16</v>
      </c>
      <c r="C8" s="3">
        <v>40</v>
      </c>
    </row>
    <row r="9" spans="2:4" x14ac:dyDescent="0.3">
      <c r="B9" s="3" t="s">
        <v>24</v>
      </c>
      <c r="C9" s="3">
        <v>98</v>
      </c>
      <c r="D9" s="3" t="s">
        <v>25</v>
      </c>
    </row>
    <row r="11" spans="2:4" x14ac:dyDescent="0.3">
      <c r="B11" s="3" t="s">
        <v>14</v>
      </c>
      <c r="C11" s="4">
        <v>5000</v>
      </c>
    </row>
    <row r="13" spans="2:4" x14ac:dyDescent="0.3">
      <c r="B13" s="2" t="s">
        <v>19</v>
      </c>
    </row>
    <row r="14" spans="2:4" x14ac:dyDescent="0.3">
      <c r="B14" s="3" t="s">
        <v>50</v>
      </c>
    </row>
    <row r="15" spans="2:4" x14ac:dyDescent="0.3">
      <c r="B15" s="3" t="s">
        <v>47</v>
      </c>
    </row>
    <row r="17" spans="2:2" x14ac:dyDescent="0.3">
      <c r="B17" s="3" t="s">
        <v>20</v>
      </c>
    </row>
    <row r="18" spans="2:2" x14ac:dyDescent="0.3">
      <c r="B18" s="3" t="s">
        <v>21</v>
      </c>
    </row>
    <row r="20" spans="2:2" x14ac:dyDescent="0.3">
      <c r="B20" s="3" t="s">
        <v>45</v>
      </c>
    </row>
    <row r="21" spans="2:2" x14ac:dyDescent="0.3">
      <c r="B21" s="3" t="s">
        <v>46</v>
      </c>
    </row>
    <row r="23" spans="2:2" ht="43.2" x14ac:dyDescent="0.3">
      <c r="B23" s="9" t="s">
        <v>55</v>
      </c>
    </row>
    <row r="24" spans="2:2" x14ac:dyDescent="0.3">
      <c r="B24" s="3" t="s">
        <v>53</v>
      </c>
    </row>
  </sheetData>
  <sheetProtection algorithmName="SHA-512" hashValue="nENnyKlsuuXGoKhJbTXFU4KpTvgBQILRYoJmvPiUt4yNk91eTUdkax8i1k+rJLZ91L2H9sN7mRJLkInLDhVUZA==" saltValue="XPZ++egiJ9XMByos2yPwu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Invoer</vt:lpstr>
      <vt:lpstr>Aflostabel</vt:lpstr>
      <vt:lpstr>Vaste gegevens</vt:lpstr>
    </vt:vector>
  </TitlesOfParts>
  <Company>Fondsenbeheer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Vos, GHA (Alexander)</dc:creator>
  <cp:lastModifiedBy>Groot, SVL (Susanne)</cp:lastModifiedBy>
  <dcterms:created xsi:type="dcterms:W3CDTF">2017-10-20T05:56:07Z</dcterms:created>
  <dcterms:modified xsi:type="dcterms:W3CDTF">2021-02-17T13:33:40Z</dcterms:modified>
</cp:coreProperties>
</file>